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comments1.xml" ContentType="application/vnd.openxmlformats-officedocument.spreadsheetml.comments+xml"/>
  <Override PartName="/xl/drawings/drawing2.xml" ContentType="application/vnd.openxmlformats-officedocument.drawing+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tables/table38.xml" ContentType="application/vnd.openxmlformats-officedocument.spreadsheetml.table+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bookViews>
    <workbookView xWindow="0" yWindow="0" windowWidth="20490" windowHeight="7620" tabRatio="606"/>
  </bookViews>
  <sheets>
    <sheet name="PACC" sheetId="2" r:id="rId1"/>
    <sheet name="Informacion " sheetId="3" state="hidden" r:id="rId2"/>
    <sheet name="ProcedureTemplate" sheetId="5" state="hidden" r:id="rId3"/>
  </sheets>
  <definedNames>
    <definedName name="_xlnm.Print_Area" localSheetId="0">PACC!$A$1:$I$65</definedName>
    <definedName name="Bienes">'Informacion '!$S$3</definedName>
    <definedName name="Concesiones">'Informacion '!$S$8</definedName>
    <definedName name="ConsultoriaServicios">'Informacion '!$S$6</definedName>
    <definedName name="DistritoList">'Informacion '!$J$3:$J$387</definedName>
    <definedName name="MIPYMEList">'Informacion '!$N$3:$N$5</definedName>
    <definedName name="MIPYMEMujer">'Informacion '!$N$4</definedName>
    <definedName name="MIPYMENo">'Informacion '!$N$5</definedName>
    <definedName name="MIPYMEOculto">PACC!$H:$H</definedName>
    <definedName name="MIPYMESí">'Informacion '!$N$3</definedName>
    <definedName name="ModCM">'Informacion '!$L$4</definedName>
    <definedName name="ModCP">'Informacion '!$L$3</definedName>
    <definedName name="ModCU">'Informacion '!$L$5</definedName>
    <definedName name="ModE1508">'Informacion '!$L$12</definedName>
    <definedName name="ModE40">'Informacion '!$L$11</definedName>
    <definedName name="ModEBienes">'Informacion '!$L$6</definedName>
    <definedName name="ModEConstruccion">'Informacion '!$L$7</definedName>
    <definedName name="ModEObras">'Informacion '!$L$9</definedName>
    <definedName name="ModEProveedor">'Informacion '!$L$10</definedName>
    <definedName name="ModEPublicidad">'Informacion '!$L$8</definedName>
    <definedName name="ModLI">'Informacion '!$L$14</definedName>
    <definedName name="ModLP">'Informacion '!$L$13</definedName>
    <definedName name="ModLR">'Informacion '!$L$15</definedName>
    <definedName name="ModSI">'Informacion '!$L$17</definedName>
    <definedName name="ModSO">'Informacion '!$L$16</definedName>
    <definedName name="MunicipioColumn">'Informacion '!$I$3:$I$387</definedName>
    <definedName name="MunicipioList">'Informacion '!$F$3:$F$157</definedName>
    <definedName name="MunicipioStart">'Informacion '!$I$3</definedName>
    <definedName name="ObjetoContratacion">PACC!$C:$C</definedName>
    <definedName name="ObjetoContratacionList">'Informacion '!$S$3:$S$7</definedName>
    <definedName name="ObjetoContratacionOculto">PACC!$G:$G</definedName>
    <definedName name="Obras">'Informacion '!$S$7</definedName>
    <definedName name="ProcedimientoOculto">PACC!$I:$I</definedName>
    <definedName name="ProcedureTemplateRange">ProcedureTemplate!$A$1:$J$10</definedName>
    <definedName name="ProvinciaColumn">'Informacion '!$E$3:$E$157</definedName>
    <definedName name="ProvinciaList">'Informacion '!$C$3:$C$34</definedName>
    <definedName name="ProvinciaStart">'Informacion '!$E$3</definedName>
    <definedName name="RegionColumn">'Informacion '!$B$3:$B$34</definedName>
    <definedName name="RegionList">'Informacion '!$A$3:$A$12</definedName>
    <definedName name="RegionStart">'Informacion '!$B$3</definedName>
    <definedName name="Servicios">'Informacion '!$S$4</definedName>
    <definedName name="ServiciosConsultoria">'Informacion '!$S$5</definedName>
    <definedName name="TiposProcedimientoList">'Informacion '!$L$3:$L$17</definedName>
    <definedName name="TotalEstArea">PACC!$J:$L</definedName>
    <definedName name="TotalEstColumnName">PACC!$E:$E</definedName>
    <definedName name="TotalEstColumnValue">PACC!$F:$F</definedName>
    <definedName name="TotalEstLabel">'Informacion '!$U$3</definedName>
    <definedName name="UnidadesList">'Informacion '!$Q$3:$Q$43</definedName>
    <definedName name="UNSPSCCode">#REF!</definedName>
    <definedName name="UNSPSCDes">#REF!</definedName>
  </definedNames>
  <calcPr calcId="145621"/>
  <webPublishing codePage="0"/>
</workbook>
</file>

<file path=xl/calcChain.xml><?xml version="1.0" encoding="utf-8"?>
<calcChain xmlns="http://schemas.openxmlformats.org/spreadsheetml/2006/main">
  <c r="J10" i="5" l="1"/>
  <c r="I10" i="5"/>
  <c r="H10" i="5"/>
  <c r="C6" i="5"/>
  <c r="C4" i="5"/>
  <c r="I810" i="2"/>
  <c r="H810" i="2"/>
  <c r="G810" i="2"/>
  <c r="C809" i="2"/>
  <c r="C808" i="2"/>
  <c r="C807" i="2"/>
  <c r="C804" i="2"/>
  <c r="C802" i="2"/>
  <c r="I797" i="2"/>
  <c r="H797" i="2"/>
  <c r="G797" i="2"/>
  <c r="C796" i="2"/>
  <c r="C795" i="2"/>
  <c r="C794" i="2"/>
  <c r="C793" i="2"/>
  <c r="C790" i="2"/>
  <c r="C788" i="2"/>
  <c r="I783" i="2"/>
  <c r="H783" i="2"/>
  <c r="G783" i="2"/>
  <c r="C782" i="2"/>
  <c r="C779" i="2"/>
  <c r="C777" i="2"/>
  <c r="I772" i="2"/>
  <c r="H772" i="2"/>
  <c r="G772" i="2"/>
  <c r="C771" i="2"/>
  <c r="C768" i="2"/>
  <c r="C766" i="2"/>
  <c r="I761" i="2"/>
  <c r="H761" i="2"/>
  <c r="G761" i="2"/>
  <c r="C760" i="2"/>
  <c r="C759" i="2"/>
  <c r="C756" i="2"/>
  <c r="C754" i="2"/>
  <c r="I749" i="2"/>
  <c r="H749" i="2"/>
  <c r="G749" i="2"/>
  <c r="C748" i="2"/>
  <c r="C745" i="2"/>
  <c r="C743" i="2"/>
  <c r="I738" i="2"/>
  <c r="H738" i="2"/>
  <c r="G738" i="2"/>
  <c r="C737" i="2"/>
  <c r="C736" i="2"/>
  <c r="C735" i="2"/>
  <c r="C734" i="2"/>
  <c r="C733" i="2"/>
  <c r="C732" i="2"/>
  <c r="C729" i="2"/>
  <c r="C727" i="2"/>
  <c r="I722" i="2"/>
  <c r="H722" i="2"/>
  <c r="G722" i="2"/>
  <c r="C721" i="2"/>
  <c r="C720" i="2"/>
  <c r="C719" i="2"/>
  <c r="C718" i="2"/>
  <c r="C717" i="2"/>
  <c r="C716" i="2"/>
  <c r="C715" i="2"/>
  <c r="C714" i="2"/>
  <c r="C713" i="2"/>
  <c r="C712" i="2"/>
  <c r="C711" i="2"/>
  <c r="C710" i="2"/>
  <c r="C709" i="2"/>
  <c r="C708" i="2"/>
  <c r="C707" i="2"/>
  <c r="C704" i="2"/>
  <c r="C702" i="2"/>
  <c r="I697" i="2"/>
  <c r="H697" i="2"/>
  <c r="G697" i="2"/>
  <c r="C696" i="2"/>
  <c r="C695" i="2"/>
  <c r="C694" i="2"/>
  <c r="C693" i="2"/>
  <c r="C690" i="2"/>
  <c r="C688" i="2"/>
  <c r="I683" i="2"/>
  <c r="H683" i="2"/>
  <c r="G683" i="2"/>
  <c r="C682" i="2"/>
  <c r="C681" i="2"/>
  <c r="C680" i="2"/>
  <c r="C679" i="2"/>
  <c r="C678" i="2"/>
  <c r="C677" i="2"/>
  <c r="C676" i="2"/>
  <c r="C675" i="2"/>
  <c r="C672" i="2"/>
  <c r="C670" i="2"/>
  <c r="I665" i="2"/>
  <c r="H665" i="2"/>
  <c r="G665" i="2"/>
  <c r="C664" i="2"/>
  <c r="C661" i="2"/>
  <c r="C659" i="2"/>
  <c r="I654" i="2"/>
  <c r="H654" i="2"/>
  <c r="G654" i="2"/>
  <c r="C653" i="2"/>
  <c r="C652" i="2"/>
  <c r="C651" i="2"/>
  <c r="C650" i="2"/>
  <c r="C649" i="2"/>
  <c r="C648" i="2"/>
  <c r="C647" i="2"/>
  <c r="C646" i="2"/>
  <c r="C645" i="2"/>
  <c r="C644" i="2"/>
  <c r="C643" i="2"/>
  <c r="C642" i="2"/>
  <c r="C641" i="2"/>
  <c r="C640" i="2"/>
  <c r="C639" i="2"/>
  <c r="C638" i="2"/>
  <c r="C637" i="2"/>
  <c r="C636" i="2"/>
  <c r="C635" i="2"/>
  <c r="C634" i="2"/>
  <c r="C633" i="2"/>
  <c r="C632" i="2"/>
  <c r="C631" i="2"/>
  <c r="C630" i="2"/>
  <c r="C629" i="2"/>
  <c r="C628" i="2"/>
  <c r="C625" i="2"/>
  <c r="C623" i="2"/>
  <c r="I618" i="2"/>
  <c r="H618" i="2"/>
  <c r="G618" i="2"/>
  <c r="C617" i="2"/>
  <c r="C616" i="2"/>
  <c r="C615" i="2"/>
  <c r="C614" i="2"/>
  <c r="C613" i="2"/>
  <c r="C612" i="2"/>
  <c r="C611" i="2"/>
  <c r="C610" i="2"/>
  <c r="C609" i="2"/>
  <c r="C608" i="2"/>
  <c r="C607" i="2"/>
  <c r="C606" i="2"/>
  <c r="C605" i="2"/>
  <c r="C604" i="2"/>
  <c r="C603" i="2"/>
  <c r="C600" i="2"/>
  <c r="C598" i="2"/>
  <c r="I593" i="2"/>
  <c r="H593" i="2"/>
  <c r="G593" i="2"/>
  <c r="C592" i="2"/>
  <c r="C591" i="2"/>
  <c r="C590" i="2"/>
  <c r="C589" i="2"/>
  <c r="C588" i="2"/>
  <c r="C587" i="2"/>
  <c r="C586" i="2"/>
  <c r="C585" i="2"/>
  <c r="C584" i="2"/>
  <c r="C583" i="2"/>
  <c r="C582" i="2"/>
  <c r="C581" i="2"/>
  <c r="C580" i="2"/>
  <c r="C579" i="2"/>
  <c r="C578" i="2"/>
  <c r="C577" i="2"/>
  <c r="C576" i="2"/>
  <c r="C575" i="2"/>
  <c r="C574" i="2"/>
  <c r="C573" i="2"/>
  <c r="C572" i="2"/>
  <c r="C571" i="2"/>
  <c r="C570" i="2"/>
  <c r="C569" i="2"/>
  <c r="C568" i="2"/>
  <c r="C567" i="2"/>
  <c r="C566" i="2"/>
  <c r="C565" i="2"/>
  <c r="C564" i="2"/>
  <c r="C563" i="2"/>
  <c r="C560" i="2"/>
  <c r="C558" i="2"/>
  <c r="I553" i="2"/>
  <c r="H553" i="2"/>
  <c r="G553" i="2"/>
  <c r="C552" i="2"/>
  <c r="C551" i="2"/>
  <c r="C550" i="2"/>
  <c r="C549" i="2"/>
  <c r="C548" i="2"/>
  <c r="C547" i="2"/>
  <c r="C546" i="2"/>
  <c r="C545" i="2"/>
  <c r="C544" i="2"/>
  <c r="C543" i="2"/>
  <c r="C542" i="2"/>
  <c r="C541" i="2"/>
  <c r="C540" i="2"/>
  <c r="C539" i="2"/>
  <c r="C538" i="2"/>
  <c r="C537" i="2"/>
  <c r="C536" i="2"/>
  <c r="C535" i="2"/>
  <c r="C534" i="2"/>
  <c r="C533" i="2"/>
  <c r="C532" i="2"/>
  <c r="C531" i="2"/>
  <c r="C530" i="2"/>
  <c r="C529" i="2"/>
  <c r="C528" i="2"/>
  <c r="C527" i="2"/>
  <c r="C526" i="2"/>
  <c r="C525" i="2"/>
  <c r="C524" i="2"/>
  <c r="C523" i="2"/>
  <c r="C520" i="2"/>
  <c r="C518" i="2"/>
  <c r="I513" i="2"/>
  <c r="H513" i="2"/>
  <c r="G513" i="2"/>
  <c r="C512" i="2"/>
  <c r="C511" i="2"/>
  <c r="C510" i="2"/>
  <c r="C509" i="2"/>
  <c r="C506" i="2"/>
  <c r="C504" i="2"/>
  <c r="I499" i="2"/>
  <c r="H499" i="2"/>
  <c r="G499" i="2"/>
  <c r="C498" i="2"/>
  <c r="C497" i="2"/>
  <c r="C496" i="2"/>
  <c r="C493" i="2"/>
  <c r="C491" i="2"/>
  <c r="I486" i="2"/>
  <c r="H486" i="2"/>
  <c r="G486" i="2"/>
  <c r="C485" i="2"/>
  <c r="C484" i="2"/>
  <c r="C481" i="2"/>
  <c r="C479" i="2"/>
  <c r="I474" i="2"/>
  <c r="H474" i="2"/>
  <c r="G474" i="2"/>
  <c r="C473" i="2"/>
  <c r="C472" i="2"/>
  <c r="C469" i="2"/>
  <c r="C467" i="2"/>
  <c r="I462" i="2"/>
  <c r="H462" i="2"/>
  <c r="G462" i="2"/>
  <c r="C461" i="2"/>
  <c r="C460" i="2"/>
  <c r="C459" i="2"/>
  <c r="C458" i="2"/>
  <c r="C457" i="2"/>
  <c r="C456" i="2"/>
  <c r="C455" i="2"/>
  <c r="C454" i="2"/>
  <c r="C453" i="2"/>
  <c r="C452" i="2"/>
  <c r="C451" i="2"/>
  <c r="C450" i="2"/>
  <c r="C449" i="2"/>
  <c r="C448" i="2"/>
  <c r="C447" i="2"/>
  <c r="C446" i="2"/>
  <c r="C445" i="2"/>
  <c r="C444" i="2"/>
  <c r="C443" i="2"/>
  <c r="C442" i="2"/>
  <c r="C441" i="2"/>
  <c r="C440" i="2"/>
  <c r="C439" i="2"/>
  <c r="C438" i="2"/>
  <c r="C437" i="2"/>
  <c r="C436" i="2"/>
  <c r="C433" i="2"/>
  <c r="C431" i="2"/>
  <c r="I426" i="2"/>
  <c r="H426" i="2"/>
  <c r="G426" i="2"/>
  <c r="C425" i="2"/>
  <c r="C424" i="2"/>
  <c r="C423" i="2"/>
  <c r="C422" i="2"/>
  <c r="C421" i="2"/>
  <c r="C418" i="2"/>
  <c r="C416" i="2"/>
  <c r="I411" i="2"/>
  <c r="H411" i="2"/>
  <c r="G411" i="2"/>
  <c r="C410" i="2"/>
  <c r="C409" i="2"/>
  <c r="C408" i="2"/>
  <c r="C407" i="2"/>
  <c r="C406" i="2"/>
  <c r="C403" i="2"/>
  <c r="C401" i="2"/>
  <c r="I396" i="2"/>
  <c r="H396" i="2"/>
  <c r="G396" i="2"/>
  <c r="C395" i="2"/>
  <c r="C394" i="2"/>
  <c r="C393" i="2"/>
  <c r="C390" i="2"/>
  <c r="C388" i="2"/>
  <c r="I383" i="2"/>
  <c r="H383" i="2"/>
  <c r="G383" i="2"/>
  <c r="C382" i="2"/>
  <c r="C381" i="2"/>
  <c r="C380" i="2"/>
  <c r="C377" i="2"/>
  <c r="C375" i="2"/>
  <c r="I370" i="2"/>
  <c r="H370" i="2"/>
  <c r="G370" i="2"/>
  <c r="C369" i="2"/>
  <c r="C368" i="2"/>
  <c r="C365" i="2"/>
  <c r="C363" i="2"/>
  <c r="I358" i="2"/>
  <c r="H358" i="2"/>
  <c r="G358" i="2"/>
  <c r="C357" i="2"/>
  <c r="C356" i="2"/>
  <c r="C353" i="2"/>
  <c r="C351" i="2"/>
  <c r="I346" i="2"/>
  <c r="H346" i="2"/>
  <c r="G346" i="2"/>
  <c r="C345" i="2"/>
  <c r="C344" i="2"/>
  <c r="C343" i="2"/>
  <c r="C342" i="2"/>
  <c r="C339" i="2"/>
  <c r="C337" i="2"/>
  <c r="I332" i="2"/>
  <c r="H332" i="2"/>
  <c r="G332" i="2"/>
  <c r="C331" i="2"/>
  <c r="C330" i="2"/>
  <c r="C329" i="2"/>
  <c r="C328" i="2"/>
  <c r="C325" i="2"/>
  <c r="C323" i="2"/>
  <c r="I318" i="2"/>
  <c r="H318" i="2"/>
  <c r="G318" i="2"/>
  <c r="C317" i="2"/>
  <c r="C314" i="2"/>
  <c r="C312" i="2"/>
  <c r="I307" i="2"/>
  <c r="H307" i="2"/>
  <c r="G307" i="2"/>
  <c r="C306" i="2"/>
  <c r="C305" i="2"/>
  <c r="C304" i="2"/>
  <c r="C303" i="2"/>
  <c r="C302" i="2"/>
  <c r="C301" i="2"/>
  <c r="C300" i="2"/>
  <c r="C299" i="2"/>
  <c r="C298" i="2"/>
  <c r="C297" i="2"/>
  <c r="C296" i="2"/>
  <c r="C295" i="2"/>
  <c r="C294" i="2"/>
  <c r="C293" i="2"/>
  <c r="C292" i="2"/>
  <c r="C291" i="2"/>
  <c r="C290" i="2"/>
  <c r="C289" i="2"/>
  <c r="C288" i="2"/>
  <c r="C287" i="2"/>
  <c r="C286" i="2"/>
  <c r="C285" i="2"/>
  <c r="C284" i="2"/>
  <c r="C283" i="2"/>
  <c r="C282" i="2"/>
  <c r="C281" i="2"/>
  <c r="C280" i="2"/>
  <c r="C279" i="2"/>
  <c r="C278" i="2"/>
  <c r="C277" i="2"/>
  <c r="C276" i="2"/>
  <c r="C275" i="2"/>
  <c r="C274" i="2"/>
  <c r="C273" i="2"/>
  <c r="C272" i="2"/>
  <c r="C271" i="2"/>
  <c r="C270" i="2"/>
  <c r="C269" i="2"/>
  <c r="C268" i="2"/>
  <c r="C267" i="2"/>
  <c r="C266" i="2"/>
  <c r="C265" i="2"/>
  <c r="C264" i="2"/>
  <c r="C263" i="2"/>
  <c r="C262" i="2"/>
  <c r="C261" i="2"/>
  <c r="C260" i="2"/>
  <c r="C259" i="2"/>
  <c r="C258" i="2"/>
  <c r="C257" i="2"/>
  <c r="C256" i="2"/>
  <c r="C255" i="2"/>
  <c r="C254" i="2"/>
  <c r="C253" i="2"/>
  <c r="C252" i="2"/>
  <c r="C251" i="2"/>
  <c r="C250" i="2"/>
  <c r="C249" i="2"/>
  <c r="C248" i="2"/>
  <c r="C247" i="2"/>
  <c r="C246" i="2"/>
  <c r="C245" i="2"/>
  <c r="C244" i="2"/>
  <c r="C243" i="2"/>
  <c r="C242" i="2"/>
  <c r="C241" i="2"/>
  <c r="C240" i="2"/>
  <c r="C239" i="2"/>
  <c r="C238" i="2"/>
  <c r="C237" i="2"/>
  <c r="C236" i="2"/>
  <c r="C235" i="2"/>
  <c r="C234" i="2"/>
  <c r="C233" i="2"/>
  <c r="C232" i="2"/>
  <c r="C231" i="2"/>
  <c r="C230" i="2"/>
  <c r="C229" i="2"/>
  <c r="C228" i="2"/>
  <c r="C227" i="2"/>
  <c r="C226" i="2"/>
  <c r="C225" i="2"/>
  <c r="C224" i="2"/>
  <c r="C223" i="2"/>
  <c r="C222" i="2"/>
  <c r="C221" i="2"/>
  <c r="C220" i="2"/>
  <c r="C219" i="2"/>
  <c r="C218" i="2"/>
  <c r="C217" i="2"/>
  <c r="C216" i="2"/>
  <c r="C215" i="2"/>
  <c r="C214" i="2"/>
  <c r="C213" i="2"/>
  <c r="C212" i="2"/>
  <c r="C211" i="2"/>
  <c r="C210" i="2"/>
  <c r="C209" i="2"/>
  <c r="C208" i="2"/>
  <c r="C207" i="2"/>
  <c r="C206" i="2"/>
  <c r="C205" i="2"/>
  <c r="C204" i="2"/>
  <c r="C203" i="2"/>
  <c r="C202" i="2"/>
  <c r="C201" i="2"/>
  <c r="C200" i="2"/>
  <c r="C199" i="2"/>
  <c r="C198" i="2"/>
  <c r="C197" i="2"/>
  <c r="C196" i="2"/>
  <c r="C195" i="2"/>
  <c r="C194" i="2"/>
  <c r="C193" i="2"/>
  <c r="C192" i="2"/>
  <c r="C191" i="2"/>
  <c r="C190" i="2"/>
  <c r="C189" i="2"/>
  <c r="C188" i="2"/>
  <c r="C187" i="2"/>
  <c r="C186" i="2"/>
  <c r="C185" i="2"/>
  <c r="C184" i="2"/>
  <c r="C183" i="2"/>
  <c r="C182" i="2"/>
  <c r="C181" i="2"/>
  <c r="C180" i="2"/>
  <c r="C179" i="2"/>
  <c r="C178" i="2"/>
  <c r="C177" i="2"/>
  <c r="C176" i="2"/>
  <c r="C175" i="2"/>
  <c r="C174" i="2"/>
  <c r="C171" i="2"/>
  <c r="C169" i="2"/>
  <c r="I164" i="2"/>
  <c r="H164" i="2"/>
  <c r="G164" i="2"/>
  <c r="C163" i="2"/>
  <c r="C160" i="2"/>
  <c r="C158" i="2"/>
  <c r="I153" i="2"/>
  <c r="H153" i="2"/>
  <c r="G153" i="2"/>
  <c r="C152" i="2"/>
  <c r="C151" i="2"/>
  <c r="C150" i="2"/>
  <c r="C147" i="2"/>
  <c r="C145" i="2"/>
  <c r="I140" i="2"/>
  <c r="H140" i="2"/>
  <c r="G140" i="2"/>
  <c r="C139" i="2"/>
  <c r="C136" i="2"/>
  <c r="C134" i="2"/>
  <c r="I129" i="2"/>
  <c r="H129" i="2"/>
  <c r="G129" i="2"/>
  <c r="C128" i="2"/>
  <c r="C127" i="2"/>
  <c r="C126" i="2"/>
  <c r="C125" i="2"/>
  <c r="C124" i="2"/>
  <c r="C123" i="2"/>
  <c r="C122" i="2"/>
  <c r="C121" i="2"/>
  <c r="C120" i="2"/>
  <c r="C119" i="2"/>
  <c r="C118" i="2"/>
  <c r="C117" i="2"/>
  <c r="C116" i="2"/>
  <c r="C115" i="2"/>
  <c r="C114" i="2"/>
  <c r="C113" i="2"/>
  <c r="C112" i="2"/>
  <c r="C111" i="2"/>
  <c r="C110" i="2"/>
  <c r="C109" i="2"/>
  <c r="C108" i="2"/>
  <c r="C107" i="2"/>
  <c r="C106" i="2"/>
  <c r="C105" i="2"/>
  <c r="C104" i="2"/>
  <c r="C103" i="2"/>
  <c r="C102" i="2"/>
  <c r="C101" i="2"/>
  <c r="C100" i="2"/>
  <c r="C99" i="2"/>
  <c r="C98" i="2"/>
  <c r="C97" i="2"/>
  <c r="C96" i="2"/>
  <c r="C95" i="2"/>
  <c r="C94" i="2"/>
  <c r="C93" i="2"/>
  <c r="C92" i="2"/>
  <c r="C91" i="2"/>
  <c r="C90" i="2"/>
  <c r="C87" i="2"/>
  <c r="C85" i="2"/>
  <c r="I80" i="2"/>
  <c r="H80" i="2"/>
  <c r="G80" i="2"/>
  <c r="C79" i="2"/>
  <c r="C78" i="2"/>
  <c r="C77" i="2"/>
  <c r="C76" i="2"/>
  <c r="C75" i="2"/>
  <c r="C74" i="2"/>
  <c r="C73" i="2"/>
  <c r="C72" i="2"/>
  <c r="C71" i="2"/>
  <c r="C70" i="2"/>
  <c r="C69" i="2"/>
  <c r="C68" i="2"/>
  <c r="C67" i="2"/>
  <c r="C66" i="2"/>
  <c r="C65" i="2"/>
  <c r="C64" i="2"/>
  <c r="C63" i="2"/>
  <c r="C62" i="2"/>
  <c r="C61" i="2"/>
  <c r="C60" i="2"/>
  <c r="C59" i="2"/>
  <c r="C58" i="2"/>
  <c r="C57" i="2"/>
  <c r="C56" i="2"/>
  <c r="C55" i="2"/>
  <c r="C54" i="2"/>
  <c r="C53" i="2"/>
  <c r="C52" i="2"/>
  <c r="C51" i="2"/>
  <c r="C50" i="2"/>
  <c r="C49" i="2"/>
  <c r="C46" i="2"/>
  <c r="C44" i="2"/>
  <c r="I39" i="2"/>
  <c r="H39" i="2"/>
  <c r="G39" i="2"/>
  <c r="C38" i="2"/>
  <c r="C37" i="2"/>
  <c r="C34" i="2"/>
  <c r="C32" i="2"/>
  <c r="I27" i="2"/>
  <c r="H27" i="2"/>
  <c r="G27" i="2"/>
  <c r="C26" i="2"/>
  <c r="C25" i="2"/>
  <c r="C24" i="2"/>
  <c r="C23" i="2"/>
  <c r="C20" i="2"/>
  <c r="C18" i="2"/>
  <c r="B3" i="2"/>
  <c r="B719" i="2" l="1"/>
  <c r="B511" i="2"/>
  <c r="B640" i="2"/>
  <c r="F422" i="2"/>
  <c r="F603" i="2"/>
  <c r="B305" i="2"/>
  <c r="B219" i="2"/>
  <c r="F716" i="2"/>
  <c r="F717" i="2"/>
  <c r="F509" i="2"/>
  <c r="F638" i="2"/>
  <c r="F410" i="2"/>
  <c r="F591" i="2"/>
  <c r="F303" i="2"/>
  <c r="F217" i="2"/>
  <c r="B714" i="2"/>
  <c r="B591" i="2"/>
  <c r="B9" i="5"/>
  <c r="F542" i="2"/>
  <c r="B587" i="2"/>
  <c r="B796" i="2"/>
  <c r="F538" i="2"/>
  <c r="B709" i="2"/>
  <c r="B461" i="2"/>
  <c r="B275" i="2"/>
  <c r="B107" i="2"/>
  <c r="F300" i="2"/>
  <c r="F585" i="2"/>
  <c r="F794" i="2"/>
  <c r="B536" i="2"/>
  <c r="F707" i="2"/>
  <c r="F459" i="2"/>
  <c r="F273" i="2"/>
  <c r="F105" i="2"/>
  <c r="B707" i="2"/>
  <c r="B459" i="2"/>
  <c r="B628" i="2"/>
  <c r="B380" i="2"/>
  <c r="B581" i="2"/>
  <c r="B293" i="2"/>
  <c r="B207" i="2"/>
  <c r="F589" i="2"/>
  <c r="B631" i="2"/>
  <c r="F393" i="2"/>
  <c r="B572" i="2"/>
  <c r="B793" i="2"/>
  <c r="F535" i="2"/>
  <c r="F328" i="2"/>
  <c r="B151" i="2"/>
  <c r="B530" i="2"/>
  <c r="F629" i="2"/>
  <c r="F381" i="2"/>
  <c r="F570" i="2"/>
  <c r="F771" i="2"/>
  <c r="B533" i="2"/>
  <c r="B303" i="2"/>
  <c r="B139" i="2"/>
  <c r="B771" i="2"/>
  <c r="F533" i="2"/>
  <c r="B652" i="2"/>
  <c r="B444" i="2"/>
  <c r="F615" i="2"/>
  <c r="B357" i="2"/>
  <c r="B231" i="2"/>
  <c r="F633" i="2"/>
  <c r="B395" i="2"/>
  <c r="F574" i="2"/>
  <c r="F795" i="2"/>
  <c r="B537" i="2"/>
  <c r="F368" i="2"/>
  <c r="B163" i="2"/>
  <c r="F472" i="2"/>
  <c r="B152" i="2"/>
  <c r="F243" i="2"/>
  <c r="B571" i="2"/>
  <c r="B720" i="2"/>
  <c r="B512" i="2"/>
  <c r="B653" i="2"/>
  <c r="B445" i="2"/>
  <c r="B259" i="2"/>
  <c r="B91" i="2"/>
  <c r="B280" i="2"/>
  <c r="F569" i="2"/>
  <c r="F718" i="2"/>
  <c r="F510" i="2"/>
  <c r="F651" i="2"/>
  <c r="F443" i="2"/>
  <c r="F257" i="2"/>
  <c r="B79" i="2"/>
  <c r="B651" i="2"/>
  <c r="B443" i="2"/>
  <c r="B592" i="2"/>
  <c r="B304" i="2"/>
  <c r="B565" i="2"/>
  <c r="F423" i="2"/>
  <c r="F649" i="2"/>
  <c r="B696" i="2"/>
  <c r="F330" i="2"/>
  <c r="F511" i="2"/>
  <c r="F245" i="2"/>
  <c r="F604" i="2"/>
  <c r="B116" i="2"/>
  <c r="B647" i="2"/>
  <c r="B439" i="2"/>
  <c r="B588" i="2"/>
  <c r="B300" i="2"/>
  <c r="F551" i="2"/>
  <c r="F484" i="2"/>
  <c r="B187" i="2"/>
  <c r="B574" i="2"/>
  <c r="F645" i="2"/>
  <c r="F437" i="2"/>
  <c r="F586" i="2"/>
  <c r="F298" i="2"/>
  <c r="B549" i="2"/>
  <c r="F456" i="2"/>
  <c r="F185" i="2"/>
  <c r="F568" i="2"/>
  <c r="F549" i="2"/>
  <c r="B708" i="2"/>
  <c r="B460" i="2"/>
  <c r="F545" i="2"/>
  <c r="F694" i="2"/>
  <c r="B456" i="2"/>
  <c r="B637" i="2"/>
  <c r="B409" i="2"/>
  <c r="B243" i="2"/>
  <c r="F65" i="2"/>
  <c r="F9" i="5"/>
  <c r="B543" i="2"/>
  <c r="F682" i="2"/>
  <c r="F454" i="2"/>
  <c r="F635" i="2"/>
  <c r="F407" i="2"/>
  <c r="F241" i="2"/>
  <c r="B63" i="2"/>
  <c r="B635" i="2"/>
  <c r="B407" i="2"/>
  <c r="B576" i="2"/>
  <c r="F807" i="2"/>
  <c r="F539" i="2"/>
  <c r="B438" i="2"/>
  <c r="B175" i="2"/>
  <c r="B547" i="2"/>
  <c r="B579" i="2"/>
  <c r="B748" i="2"/>
  <c r="F530" i="2"/>
  <c r="B681" i="2"/>
  <c r="B453" i="2"/>
  <c r="B267" i="2"/>
  <c r="B99" i="2"/>
  <c r="B288" i="2"/>
  <c r="F577" i="2"/>
  <c r="B736" i="2"/>
  <c r="B528" i="2"/>
  <c r="F679" i="2"/>
  <c r="F451" i="2"/>
  <c r="F265" i="2"/>
  <c r="F97" i="2"/>
  <c r="B679" i="2"/>
  <c r="B451" i="2"/>
  <c r="F610" i="2"/>
  <c r="F342" i="2"/>
  <c r="B573" i="2"/>
  <c r="F648" i="2"/>
  <c r="B199" i="2"/>
  <c r="F581" i="2"/>
  <c r="B760" i="2"/>
  <c r="B532" i="2"/>
  <c r="B693" i="2"/>
  <c r="F455" i="2"/>
  <c r="F269" i="2"/>
  <c r="F101" i="2"/>
  <c r="B268" i="2"/>
  <c r="B100" i="2"/>
  <c r="F737" i="2"/>
  <c r="F529" i="2"/>
  <c r="B648" i="2"/>
  <c r="B440" i="2"/>
  <c r="F611" i="2"/>
  <c r="F343" i="2"/>
  <c r="B227" i="2"/>
  <c r="F49" i="2"/>
  <c r="B735" i="2"/>
  <c r="B527" i="2"/>
  <c r="F646" i="2"/>
  <c r="F438" i="2"/>
  <c r="B609" i="2"/>
  <c r="F331" i="2"/>
  <c r="F225" i="2"/>
  <c r="F37" i="2"/>
  <c r="F609" i="2"/>
  <c r="B331" i="2"/>
  <c r="F550" i="2"/>
  <c r="B721" i="2"/>
  <c r="F523" i="2"/>
  <c r="B454" i="2"/>
  <c r="F565" i="2"/>
  <c r="B608" i="2"/>
  <c r="F719" i="2"/>
  <c r="B421" i="2"/>
  <c r="F197" i="2"/>
  <c r="F290" i="2"/>
  <c r="F460" i="2"/>
  <c r="F123" i="2"/>
  <c r="F240" i="2"/>
  <c r="F108" i="2"/>
  <c r="B54" i="2"/>
  <c r="F548" i="2"/>
  <c r="F186" i="2"/>
  <c r="B257" i="2"/>
  <c r="F79" i="2"/>
  <c r="B174" i="2"/>
  <c r="F284" i="2"/>
  <c r="B264" i="2"/>
  <c r="B96" i="2"/>
  <c r="F547" i="2"/>
  <c r="B759" i="2"/>
  <c r="B808" i="2"/>
  <c r="F442" i="2"/>
  <c r="F563" i="2"/>
  <c r="F277" i="2"/>
  <c r="B127" i="2"/>
  <c r="F605" i="2"/>
  <c r="F317" i="2"/>
  <c r="F546" i="2"/>
  <c r="B717" i="2"/>
  <c r="B509" i="2"/>
  <c r="B283" i="2"/>
  <c r="B115" i="2"/>
  <c r="B394" i="2"/>
  <c r="B603" i="2"/>
  <c r="F305" i="2"/>
  <c r="B544" i="2"/>
  <c r="F715" i="2"/>
  <c r="B497" i="2"/>
  <c r="F281" i="2"/>
  <c r="F113" i="2"/>
  <c r="B715" i="2"/>
  <c r="F497" i="2"/>
  <c r="B636" i="2"/>
  <c r="B711" i="2"/>
  <c r="F473" i="2"/>
  <c r="B632" i="2"/>
  <c r="F394" i="2"/>
  <c r="B585" i="2"/>
  <c r="B297" i="2"/>
  <c r="B211" i="2"/>
  <c r="B694" i="2"/>
  <c r="F709" i="2"/>
  <c r="F461" i="2"/>
  <c r="F630" i="2"/>
  <c r="F382" i="2"/>
  <c r="F583" i="2"/>
  <c r="F295" i="2"/>
  <c r="F209" i="2"/>
  <c r="B682" i="2"/>
  <c r="B583" i="2"/>
  <c r="F782" i="2"/>
  <c r="F534" i="2"/>
  <c r="F695" i="2"/>
  <c r="B457" i="2"/>
  <c r="B271" i="2"/>
  <c r="F713" i="2"/>
  <c r="B795" i="2"/>
  <c r="F537" i="2"/>
  <c r="B676" i="2"/>
  <c r="B448" i="2"/>
  <c r="B629" i="2"/>
  <c r="B381" i="2"/>
  <c r="B235" i="2"/>
  <c r="F57" i="2"/>
  <c r="F793" i="2"/>
  <c r="B535" i="2"/>
  <c r="B664" i="2"/>
  <c r="F446" i="2"/>
  <c r="B617" i="2"/>
  <c r="B369" i="2"/>
  <c r="F233" i="2"/>
  <c r="B55" i="2"/>
  <c r="F617" i="2"/>
  <c r="F369" i="2"/>
  <c r="B568" i="2"/>
  <c r="F759" i="2"/>
  <c r="F531" i="2"/>
  <c r="B299" i="2"/>
  <c r="B807" i="2"/>
  <c r="B539" i="2"/>
  <c r="F678" i="2"/>
  <c r="F450" i="2"/>
  <c r="F631" i="2"/>
  <c r="B393" i="2"/>
  <c r="F237" i="2"/>
  <c r="B59" i="2"/>
  <c r="B236" i="2"/>
  <c r="F444" i="2"/>
  <c r="B675" i="2"/>
  <c r="B447" i="2"/>
  <c r="F606" i="2"/>
  <c r="B328" i="2"/>
  <c r="B569" i="2"/>
  <c r="F640" i="2"/>
  <c r="B195" i="2"/>
  <c r="B590" i="2"/>
  <c r="F653" i="2"/>
  <c r="F445" i="2"/>
  <c r="B604" i="2"/>
  <c r="F306" i="2"/>
  <c r="F567" i="2"/>
  <c r="B638" i="2"/>
  <c r="F193" i="2"/>
  <c r="F584" i="2"/>
  <c r="B567" i="2"/>
  <c r="B716" i="2"/>
  <c r="F498" i="2"/>
  <c r="B649" i="2"/>
  <c r="B408" i="2"/>
  <c r="B247" i="2"/>
  <c r="F449" i="2"/>
  <c r="B548" i="2"/>
  <c r="F639" i="2"/>
  <c r="B646" i="2"/>
  <c r="F117" i="2"/>
  <c r="B244" i="2"/>
  <c r="F267" i="2"/>
  <c r="F91" i="2"/>
  <c r="F176" i="2"/>
  <c r="F616" i="2"/>
  <c r="B578" i="2"/>
  <c r="F286" i="2"/>
  <c r="F114" i="2"/>
  <c r="B225" i="2"/>
  <c r="B37" i="2"/>
  <c r="F76" i="2"/>
  <c r="B98" i="2"/>
  <c r="B232" i="2"/>
  <c r="F436" i="2"/>
  <c r="B329" i="2"/>
  <c r="B615" i="2"/>
  <c r="F650" i="2"/>
  <c r="F302" i="2"/>
  <c r="B473" i="2"/>
  <c r="F229" i="2"/>
  <c r="B566" i="2"/>
  <c r="B108" i="2"/>
  <c r="F187" i="2"/>
  <c r="F288" i="2"/>
  <c r="F228" i="2"/>
  <c r="F116" i="2"/>
  <c r="B51" i="2"/>
  <c r="B563" i="2"/>
  <c r="B712" i="2"/>
  <c r="B484" i="2"/>
  <c r="B645" i="2"/>
  <c r="B437" i="2"/>
  <c r="B251" i="2"/>
  <c r="F73" i="2"/>
  <c r="B272" i="2"/>
  <c r="B551" i="2"/>
  <c r="F710" i="2"/>
  <c r="B472" i="2"/>
  <c r="F643" i="2"/>
  <c r="B425" i="2"/>
  <c r="F249" i="2"/>
  <c r="B71" i="2"/>
  <c r="B643" i="2"/>
  <c r="F425" i="2"/>
  <c r="B584" i="2"/>
  <c r="B639" i="2"/>
  <c r="F421" i="2"/>
  <c r="B580" i="2"/>
  <c r="B292" i="2"/>
  <c r="F543" i="2"/>
  <c r="B446" i="2"/>
  <c r="B179" i="2"/>
  <c r="B546" i="2"/>
  <c r="F637" i="2"/>
  <c r="F409" i="2"/>
  <c r="F578" i="2"/>
  <c r="B809" i="2"/>
  <c r="B541" i="2"/>
  <c r="F440" i="2"/>
  <c r="F177" i="2"/>
  <c r="F809" i="2"/>
  <c r="F541" i="2"/>
  <c r="B680" i="2"/>
  <c r="B452" i="2"/>
  <c r="B633" i="2"/>
  <c r="F395" i="2"/>
  <c r="B239" i="2"/>
  <c r="F641" i="2"/>
  <c r="F693" i="2"/>
  <c r="B455" i="2"/>
  <c r="F614" i="2"/>
  <c r="B356" i="2"/>
  <c r="B577" i="2"/>
  <c r="F736" i="2"/>
  <c r="B203" i="2"/>
  <c r="F612" i="2"/>
  <c r="F681" i="2"/>
  <c r="F453" i="2"/>
  <c r="B612" i="2"/>
  <c r="B344" i="2"/>
  <c r="F575" i="2"/>
  <c r="B734" i="2"/>
  <c r="F201" i="2"/>
  <c r="B610" i="2"/>
  <c r="B575" i="2"/>
  <c r="F734" i="2"/>
  <c r="F526" i="2"/>
  <c r="B677" i="2"/>
  <c r="B449" i="2"/>
  <c r="B263" i="2"/>
  <c r="B695" i="2"/>
  <c r="F457" i="2"/>
  <c r="B616" i="2"/>
  <c r="B368" i="2"/>
  <c r="F579" i="2"/>
  <c r="F291" i="2"/>
  <c r="F205" i="2"/>
  <c r="F708" i="2"/>
  <c r="B204" i="2"/>
  <c r="F275" i="2"/>
  <c r="F613" i="2"/>
  <c r="F345" i="2"/>
  <c r="B564" i="2"/>
  <c r="F735" i="2"/>
  <c r="F527" i="2"/>
  <c r="B291" i="2"/>
  <c r="B123" i="2"/>
  <c r="B498" i="2"/>
  <c r="B611" i="2"/>
  <c r="B343" i="2"/>
  <c r="B552" i="2"/>
  <c r="B733" i="2"/>
  <c r="B525" i="2"/>
  <c r="F289" i="2"/>
  <c r="F121" i="2"/>
  <c r="F733" i="2"/>
  <c r="F525" i="2"/>
  <c r="B644" i="2"/>
  <c r="B436" i="2"/>
  <c r="F607" i="2"/>
  <c r="B589" i="2"/>
  <c r="B183" i="2"/>
  <c r="F329" i="2"/>
  <c r="F458" i="2"/>
  <c r="F571" i="2"/>
  <c r="F285" i="2"/>
  <c r="B67" i="2"/>
  <c r="B196" i="2"/>
  <c r="F227" i="2"/>
  <c r="B49" i="2"/>
  <c r="F78" i="2"/>
  <c r="B422" i="2"/>
  <c r="F90" i="2"/>
  <c r="F250" i="2"/>
  <c r="F636" i="2"/>
  <c r="B193" i="2"/>
  <c r="B526" i="2"/>
  <c r="F260" i="2"/>
  <c r="F676" i="2"/>
  <c r="B200" i="2"/>
  <c r="F271" i="2"/>
  <c r="B287" i="2"/>
  <c r="B531" i="2"/>
  <c r="F195" i="2"/>
  <c r="F77" i="2"/>
  <c r="B238" i="2"/>
  <c r="B296" i="2"/>
  <c r="B540" i="2"/>
  <c r="B630" i="2"/>
  <c r="B228" i="2"/>
  <c r="F219" i="2"/>
  <c r="F224" i="2"/>
  <c r="F712" i="2"/>
  <c r="B50" i="2"/>
  <c r="F210" i="2"/>
  <c r="B281" i="2"/>
  <c r="B113" i="2"/>
  <c r="B222" i="2"/>
  <c r="B782" i="2"/>
  <c r="F296" i="2"/>
  <c r="B120" i="2"/>
  <c r="F231" i="2"/>
  <c r="B53" i="2"/>
  <c r="B92" i="2"/>
  <c r="B534" i="2"/>
  <c r="B538" i="2"/>
  <c r="F182" i="2"/>
  <c r="B253" i="2"/>
  <c r="F75" i="2"/>
  <c r="B150" i="2"/>
  <c r="F38" i="2"/>
  <c r="B76" i="2"/>
  <c r="F238" i="2"/>
  <c r="B279" i="2"/>
  <c r="B523" i="2"/>
  <c r="F582" i="2"/>
  <c r="F675" i="2"/>
  <c r="B317" i="2"/>
  <c r="F181" i="2"/>
  <c r="B260" i="2"/>
  <c r="B294" i="2"/>
  <c r="F107" i="2"/>
  <c r="F208" i="2"/>
  <c r="B52" i="2"/>
  <c r="F26" i="2"/>
  <c r="F408" i="2"/>
  <c r="F150" i="2"/>
  <c r="B241" i="2"/>
  <c r="F63" i="2"/>
  <c r="B110" i="2"/>
  <c r="B114" i="2"/>
  <c r="B248" i="2"/>
  <c r="B634" i="2"/>
  <c r="F191" i="2"/>
  <c r="F496" i="2"/>
  <c r="F293" i="2"/>
  <c r="F206" i="2"/>
  <c r="F59" i="2"/>
  <c r="F677" i="2"/>
  <c r="F253" i="2"/>
  <c r="F572" i="2"/>
  <c r="F226" i="2"/>
  <c r="B178" i="2"/>
  <c r="F183" i="2"/>
  <c r="F220" i="2"/>
  <c r="F262" i="2"/>
  <c r="B269" i="2"/>
  <c r="F51" i="2"/>
  <c r="B218" i="2"/>
  <c r="B213" i="2"/>
  <c r="B262" i="2"/>
  <c r="F748" i="2"/>
  <c r="F566" i="2"/>
  <c r="B252" i="2"/>
  <c r="B614" i="2"/>
  <c r="B94" i="2"/>
  <c r="F66" i="2"/>
  <c r="B298" i="2"/>
  <c r="F56" i="2"/>
  <c r="B295" i="2"/>
  <c r="F258" i="2"/>
  <c r="F588" i="2"/>
  <c r="F644" i="2"/>
  <c r="B109" i="2"/>
  <c r="B56" i="2"/>
  <c r="F634" i="2"/>
  <c r="F356" i="2"/>
  <c r="F180" i="2"/>
  <c r="B265" i="2"/>
  <c r="F274" i="2"/>
  <c r="B61" i="2"/>
  <c r="F564" i="2"/>
  <c r="F190" i="2"/>
  <c r="B233" i="2"/>
  <c r="F216" i="2"/>
  <c r="F94" i="2"/>
  <c r="B118" i="2"/>
  <c r="F587" i="2"/>
  <c r="B210" i="2"/>
  <c r="F279" i="2"/>
  <c r="B103" i="2"/>
  <c r="B78" i="2"/>
  <c r="B66" i="2"/>
  <c r="B245" i="2"/>
  <c r="B75" i="2"/>
  <c r="F103" i="2"/>
  <c r="F222" i="2"/>
  <c r="F254" i="2"/>
  <c r="B191" i="2"/>
  <c r="F528" i="2"/>
  <c r="F218" i="2"/>
  <c r="B64" i="2"/>
  <c r="B223" i="2"/>
  <c r="F711" i="2"/>
  <c r="F189" i="2"/>
  <c r="B188" i="2"/>
  <c r="F115" i="2"/>
  <c r="F128" i="2"/>
  <c r="B290" i="2"/>
  <c r="F524" i="2"/>
  <c r="F178" i="2"/>
  <c r="B249" i="2"/>
  <c r="F71" i="2"/>
  <c r="B126" i="2"/>
  <c r="B250" i="2"/>
  <c r="B256" i="2"/>
  <c r="B650" i="2"/>
  <c r="F199" i="2"/>
  <c r="F544" i="2"/>
  <c r="F50" i="2"/>
  <c r="F236" i="2"/>
  <c r="F282" i="2"/>
  <c r="F110" i="2"/>
  <c r="B221" i="2"/>
  <c r="F23" i="2"/>
  <c r="F72" i="2"/>
  <c r="B306" i="2"/>
  <c r="F380" i="2"/>
  <c r="B713" i="2"/>
  <c r="B215" i="2"/>
  <c r="B423" i="2"/>
  <c r="B524" i="2"/>
  <c r="B605" i="2"/>
  <c r="F448" i="2"/>
  <c r="F93" i="2"/>
  <c r="B220" i="2"/>
  <c r="F251" i="2"/>
  <c r="B65" i="2"/>
  <c r="F112" i="2"/>
  <c r="F580" i="2"/>
  <c r="F268" i="2"/>
  <c r="F266" i="2"/>
  <c r="F98" i="2"/>
  <c r="B209" i="2"/>
  <c r="B718" i="2"/>
  <c r="F60" i="2"/>
  <c r="F69" i="2"/>
  <c r="B216" i="2"/>
  <c r="F287" i="2"/>
  <c r="F119" i="2"/>
  <c r="F232" i="2"/>
  <c r="F196" i="2"/>
  <c r="F357" i="2"/>
  <c r="B26" i="2"/>
  <c r="F714" i="2"/>
  <c r="F53" i="2"/>
  <c r="F54" i="2"/>
  <c r="B330" i="2"/>
  <c r="F512" i="2"/>
  <c r="B69" i="2"/>
  <c r="F680" i="2"/>
  <c r="F198" i="2"/>
  <c r="B229" i="2"/>
  <c r="B278" i="2"/>
  <c r="F796" i="2"/>
  <c r="F163" i="2"/>
  <c r="B182" i="2"/>
  <c r="F276" i="2"/>
  <c r="F647" i="2"/>
  <c r="F283" i="2"/>
  <c r="F304" i="2"/>
  <c r="B240" i="2"/>
  <c r="B282" i="2"/>
  <c r="B205" i="2"/>
  <c r="B678" i="2"/>
  <c r="B212" i="2"/>
  <c r="B570" i="2"/>
  <c r="F58" i="2"/>
  <c r="B277" i="2"/>
  <c r="B542" i="2"/>
  <c r="F552" i="2"/>
  <c r="B737" i="2"/>
  <c r="B642" i="2"/>
  <c r="B70" i="2"/>
  <c r="B97" i="2"/>
  <c r="B104" i="2"/>
  <c r="F264" i="2"/>
  <c r="F102" i="2"/>
  <c r="B60" i="2"/>
  <c r="B122" i="2"/>
  <c r="F652" i="2"/>
  <c r="F52" i="2"/>
  <c r="F111" i="2"/>
  <c r="F96" i="2"/>
  <c r="B24" i="2"/>
  <c r="B289" i="2"/>
  <c r="B406" i="2"/>
  <c r="F441" i="2"/>
  <c r="B613" i="2"/>
  <c r="F109" i="2"/>
  <c r="B342" i="2"/>
  <c r="B73" i="2"/>
  <c r="F70" i="2"/>
  <c r="B106" i="2"/>
  <c r="B276" i="2"/>
  <c r="F106" i="2"/>
  <c r="B217" i="2"/>
  <c r="B606" i="2"/>
  <c r="F68" i="2"/>
  <c r="B111" i="2"/>
  <c r="B224" i="2"/>
  <c r="B302" i="2"/>
  <c r="F127" i="2"/>
  <c r="F248" i="2"/>
  <c r="F124" i="2"/>
  <c r="B62" i="2"/>
  <c r="F246" i="2"/>
  <c r="F628" i="2"/>
  <c r="B189" i="2"/>
  <c r="F297" i="2"/>
  <c r="B242" i="2"/>
  <c r="B194" i="2"/>
  <c r="F24" i="2"/>
  <c r="B485" i="2"/>
  <c r="F721" i="2"/>
  <c r="B732" i="2"/>
  <c r="B424" i="2"/>
  <c r="B545" i="2"/>
  <c r="F261" i="2"/>
  <c r="B95" i="2"/>
  <c r="B180" i="2"/>
  <c r="F211" i="2"/>
  <c r="F720" i="2"/>
  <c r="F62" i="2"/>
  <c r="B274" i="2"/>
  <c r="B74" i="2"/>
  <c r="F234" i="2"/>
  <c r="B442" i="2"/>
  <c r="B177" i="2"/>
  <c r="B270" i="2"/>
  <c r="B202" i="2"/>
  <c r="F540" i="2"/>
  <c r="B184" i="2"/>
  <c r="F255" i="2"/>
  <c r="B77" i="2"/>
  <c r="F74" i="2"/>
  <c r="B23" i="2"/>
  <c r="B201" i="2"/>
  <c r="B234" i="2"/>
  <c r="F406" i="2"/>
  <c r="B124" i="2"/>
  <c r="F252" i="2"/>
  <c r="F139" i="2"/>
  <c r="B176" i="2"/>
  <c r="F280" i="2"/>
  <c r="F100" i="2"/>
  <c r="F118" i="2"/>
  <c r="B181" i="2"/>
  <c r="B198" i="2"/>
  <c r="F424" i="2"/>
  <c r="B93" i="2"/>
  <c r="F64" i="2"/>
  <c r="B255" i="2"/>
  <c r="F299" i="2"/>
  <c r="F99" i="2"/>
  <c r="F122" i="2"/>
  <c r="F215" i="2"/>
  <c r="B382" i="2"/>
  <c r="F67" i="2"/>
  <c r="B641" i="2"/>
  <c r="B57" i="2"/>
  <c r="B208" i="2"/>
  <c r="B266" i="2"/>
  <c r="B237" i="2"/>
  <c r="B214" i="2"/>
  <c r="F632" i="2"/>
  <c r="F439" i="2"/>
  <c r="F151" i="2"/>
  <c r="F592" i="2"/>
  <c r="B190" i="2"/>
  <c r="F239" i="2"/>
  <c r="F104" i="2"/>
  <c r="F576" i="2"/>
  <c r="F344" i="2"/>
  <c r="F452" i="2"/>
  <c r="B58" i="2"/>
  <c r="B125" i="2"/>
  <c r="B258" i="2"/>
  <c r="F235" i="2"/>
  <c r="F200" i="2"/>
  <c r="F230" i="2"/>
  <c r="F25" i="2"/>
  <c r="F212" i="2"/>
  <c r="B121" i="2"/>
  <c r="B128" i="2"/>
  <c r="F590" i="2"/>
  <c r="B345" i="2"/>
  <c r="F278" i="2"/>
  <c r="F259" i="2"/>
  <c r="F608" i="2"/>
  <c r="B68" i="2"/>
  <c r="B410" i="2"/>
  <c r="F242" i="2"/>
  <c r="B458" i="2"/>
  <c r="B185" i="2"/>
  <c r="B286" i="2"/>
  <c r="B226" i="2"/>
  <c r="B582" i="2"/>
  <c r="B192" i="2"/>
  <c r="F263" i="2"/>
  <c r="F95" i="2"/>
  <c r="F184" i="2"/>
  <c r="F760" i="2"/>
  <c r="F61" i="2"/>
  <c r="F214" i="2"/>
  <c r="B285" i="2"/>
  <c r="B117" i="2"/>
  <c r="B230" i="2"/>
  <c r="B72" i="2"/>
  <c r="F152" i="2"/>
  <c r="B510" i="2"/>
  <c r="B301" i="2"/>
  <c r="B607" i="2"/>
  <c r="F642" i="2"/>
  <c r="F294" i="2"/>
  <c r="F447" i="2"/>
  <c r="F221" i="2"/>
  <c r="F532" i="2"/>
  <c r="F732" i="2"/>
  <c r="F179" i="2"/>
  <c r="F272" i="2"/>
  <c r="F204" i="2"/>
  <c r="F92" i="2"/>
  <c r="F696" i="2"/>
  <c r="F202" i="2"/>
  <c r="B273" i="2"/>
  <c r="B105" i="2"/>
  <c r="B206" i="2"/>
  <c r="B710" i="2"/>
  <c r="B284" i="2"/>
  <c r="B112" i="2"/>
  <c r="F223" i="2"/>
  <c r="B25" i="2"/>
  <c r="F244" i="2"/>
  <c r="F270" i="2"/>
  <c r="F126" i="2"/>
  <c r="B441" i="2"/>
  <c r="B529" i="2"/>
  <c r="F203" i="2"/>
  <c r="B119" i="2"/>
  <c r="B254" i="2"/>
  <c r="F247" i="2"/>
  <c r="F120" i="2"/>
  <c r="F664" i="2"/>
  <c r="B450" i="2"/>
  <c r="B101" i="2"/>
  <c r="B90" i="2"/>
  <c r="B261" i="2"/>
  <c r="B38" i="2"/>
  <c r="B186" i="2"/>
  <c r="F485" i="2"/>
  <c r="F125" i="2"/>
  <c r="F192" i="2"/>
  <c r="F55" i="2"/>
  <c r="F301" i="2"/>
  <c r="F174" i="2"/>
  <c r="B246" i="2"/>
  <c r="B496" i="2"/>
  <c r="B550" i="2"/>
  <c r="F207" i="2"/>
  <c r="F292" i="2"/>
  <c r="B197" i="2"/>
  <c r="B102" i="2"/>
  <c r="F573" i="2"/>
  <c r="F213" i="2"/>
  <c r="F256" i="2"/>
  <c r="F194" i="2"/>
  <c r="F536" i="2"/>
  <c r="F175" i="2"/>
  <c r="F188" i="2"/>
  <c r="B794" i="2"/>
  <c r="B586" i="2"/>
  <c r="F808" i="2"/>
  <c r="F307" i="2" l="1"/>
  <c r="F665" i="2"/>
  <c r="F738" i="2"/>
  <c r="F140" i="2"/>
  <c r="F411" i="2"/>
  <c r="F654" i="2"/>
  <c r="F164" i="2"/>
  <c r="F383" i="2"/>
  <c r="F27" i="2"/>
  <c r="F358" i="2"/>
  <c r="F749" i="2"/>
  <c r="F499" i="2"/>
  <c r="F153" i="2"/>
  <c r="F683" i="2"/>
  <c r="F129" i="2"/>
  <c r="F697" i="2"/>
  <c r="F426" i="2"/>
  <c r="F462" i="2"/>
  <c r="F761" i="2"/>
  <c r="F797" i="2"/>
  <c r="F783" i="2"/>
  <c r="F318" i="2"/>
  <c r="F593" i="2"/>
  <c r="F553" i="2"/>
  <c r="F39" i="2"/>
  <c r="F80" i="2"/>
  <c r="F346" i="2"/>
  <c r="F810" i="2"/>
  <c r="F10" i="5"/>
  <c r="F486" i="2"/>
  <c r="F474" i="2"/>
  <c r="F370" i="2"/>
  <c r="F772" i="2"/>
  <c r="F332" i="2"/>
  <c r="F396" i="2"/>
  <c r="F722" i="2"/>
  <c r="F513" i="2"/>
  <c r="F618" i="2"/>
  <c r="B9" i="2" l="1"/>
  <c r="B10" i="2"/>
</calcChain>
</file>

<file path=xl/comments1.xml><?xml version="1.0" encoding="utf-8"?>
<comments xmlns="http://schemas.openxmlformats.org/spreadsheetml/2006/main">
  <authors>
    <author>Zuria Castellanos</author>
    <author>nextapp</author>
  </authors>
  <commentList>
    <comment ref="E11" authorId="0">
      <text>
        <r>
          <rPr>
            <b/>
            <sz val="9"/>
            <rFont val="Tahoma"/>
            <family val="2"/>
          </rPr>
          <t>Introduzca el año del PACC</t>
        </r>
      </text>
    </comment>
    <comment ref="E12" authorId="0">
      <text>
        <r>
          <rPr>
            <b/>
            <sz val="9"/>
            <rFont val="Tahoma"/>
            <family val="2"/>
          </rPr>
          <t>Introduzca la fecha de aprobación, en formato dd/mm/aaaa</t>
        </r>
      </text>
    </comment>
    <comment ref="A16" authorId="1">
      <text>
        <r>
          <rPr>
            <sz val="11"/>
            <color theme="1"/>
            <rFont val="Calibri"/>
            <family val="2"/>
            <scheme val="minor"/>
          </rPr>
          <t>Introducir un texto con el nombre o referencia de la contratación</t>
        </r>
      </text>
    </comment>
    <comment ref="B16" authorId="1">
      <text>
        <r>
          <rPr>
            <sz val="11"/>
            <color theme="1"/>
            <rFont val="Calibri"/>
            <family val="2"/>
            <scheme val="minor"/>
          </rPr>
          <t>Introduzca un texto con la finalidad de la contratación</t>
        </r>
      </text>
    </comment>
    <comment ref="C16" authorId="1">
      <text>
        <r>
          <rPr>
            <sz val="11"/>
            <color theme="1"/>
            <rFont val="Calibri"/>
            <family val="2"/>
            <scheme val="minor"/>
          </rPr>
          <t>Seleccionar un valor del listado</t>
        </r>
      </text>
    </comment>
    <comment ref="D16" authorId="1">
      <text>
        <r>
          <rPr>
            <sz val="11"/>
            <color theme="1"/>
            <rFont val="Calibri"/>
            <family val="2"/>
            <scheme val="minor"/>
          </rPr>
          <t>Seleccione el tipo de procedimiento</t>
        </r>
      </text>
    </comment>
    <comment ref="E16" authorId="1">
      <text>
        <r>
          <rPr>
            <sz val="11"/>
            <color theme="1"/>
            <rFont val="Calibri"/>
            <family val="2"/>
            <scheme val="minor"/>
          </rPr>
          <t>Seleccione un valor de la lista</t>
        </r>
      </text>
    </comment>
    <comment ref="F16" authorId="1">
      <text>
        <r>
          <rPr>
            <sz val="11"/>
            <color theme="1"/>
            <rFont val="Calibri"/>
            <family val="2"/>
            <scheme val="minor"/>
          </rPr>
          <t>Introduzca el código SNIP</t>
        </r>
      </text>
    </comment>
    <comment ref="C17" authorId="1">
      <text>
        <r>
          <rPr>
            <sz val="11"/>
            <color theme="1"/>
            <rFont val="Calibri"/>
            <family val="2"/>
            <scheme val="minor"/>
          </rPr>
          <t>Introduzca la fecha de inicio del proceso, en formato dd-mm-aaaa</t>
        </r>
      </text>
    </comment>
    <comment ref="F17" authorId="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 authorId="1">
      <text/>
    </comment>
    <comment ref="C19" authorId="1">
      <text>
        <r>
          <rPr>
            <sz val="11"/>
            <color theme="1"/>
            <rFont val="Calibri"/>
            <family val="2"/>
            <scheme val="minor"/>
          </rPr>
          <t>Introduzca la fecha prevista de adjudicación, en formato dd-mm-aaaa</t>
        </r>
      </text>
    </comment>
    <comment ref="F19" authorId="1">
      <text/>
    </comment>
    <comment ref="F20" authorId="1">
      <text/>
    </comment>
    <comment ref="A22" authorId="1">
      <text>
        <r>
          <rPr>
            <sz val="11"/>
            <color theme="1"/>
            <rFont val="Calibri"/>
            <family val="2"/>
            <scheme val="minor"/>
          </rPr>
          <t>Introduzca un codigo UNSPSC</t>
        </r>
      </text>
    </comment>
    <comment ref="B22" authorId="1">
      <text>
        <r>
          <rPr>
            <sz val="11"/>
            <color theme="1"/>
            <rFont val="Calibri"/>
            <family val="2"/>
            <scheme val="minor"/>
          </rPr>
          <t>Descripción calculada automáticamente a partir de código del artículo</t>
        </r>
      </text>
    </comment>
    <comment ref="C22" authorId="1">
      <text>
        <r>
          <rPr>
            <sz val="11"/>
            <color theme="1"/>
            <rFont val="Calibri"/>
            <family val="2"/>
            <scheme val="minor"/>
          </rPr>
          <t>Seleccione un valor de la lista</t>
        </r>
      </text>
    </comment>
    <comment ref="D22" authorId="1">
      <text>
        <r>
          <rPr>
            <sz val="11"/>
            <color theme="1"/>
            <rFont val="Calibri"/>
            <family val="2"/>
            <scheme val="minor"/>
          </rPr>
          <t>Introduzca un número con dos decimales como máximo. Debe ser igual o mayor a la "Cantidad Real Consumida"</t>
        </r>
      </text>
    </comment>
    <comment ref="E22" authorId="1">
      <text>
        <r>
          <rPr>
            <sz val="11"/>
            <color theme="1"/>
            <rFont val="Calibri"/>
            <family val="2"/>
            <scheme val="minor"/>
          </rPr>
          <t>Introduzca un número con dos decimales como máximo</t>
        </r>
      </text>
    </comment>
    <comment ref="F22" authorId="1">
      <text>
        <r>
          <rPr>
            <sz val="11"/>
            <color theme="1"/>
            <rFont val="Calibri"/>
            <family val="2"/>
            <scheme val="minor"/>
          </rPr>
          <t>Monto calculado automáticamente por el sistema</t>
        </r>
      </text>
    </comment>
    <comment ref="A30" authorId="1">
      <text>
        <r>
          <rPr>
            <sz val="11"/>
            <color theme="1"/>
            <rFont val="Calibri"/>
            <family val="2"/>
            <scheme val="minor"/>
          </rPr>
          <t>Introducir un texto con el nombre o referencia de la contratación</t>
        </r>
      </text>
    </comment>
    <comment ref="B30" authorId="1">
      <text>
        <r>
          <rPr>
            <sz val="11"/>
            <color theme="1"/>
            <rFont val="Calibri"/>
            <family val="2"/>
            <scheme val="minor"/>
          </rPr>
          <t>Introduzca un texto con la finalidad de la contratación</t>
        </r>
      </text>
    </comment>
    <comment ref="C30" authorId="1">
      <text>
        <r>
          <rPr>
            <sz val="11"/>
            <color theme="1"/>
            <rFont val="Calibri"/>
            <family val="2"/>
            <scheme val="minor"/>
          </rPr>
          <t>Seleccionar un valor del listado</t>
        </r>
      </text>
    </comment>
    <comment ref="D30" authorId="1">
      <text>
        <r>
          <rPr>
            <sz val="11"/>
            <color theme="1"/>
            <rFont val="Calibri"/>
            <family val="2"/>
            <scheme val="minor"/>
          </rPr>
          <t>Seleccione el tipo de procedimiento</t>
        </r>
      </text>
    </comment>
    <comment ref="E30" authorId="1">
      <text>
        <r>
          <rPr>
            <sz val="11"/>
            <color theme="1"/>
            <rFont val="Calibri"/>
            <family val="2"/>
            <scheme val="minor"/>
          </rPr>
          <t>Seleccione un valor de la lista</t>
        </r>
      </text>
    </comment>
    <comment ref="F30" authorId="1">
      <text>
        <r>
          <rPr>
            <sz val="11"/>
            <color theme="1"/>
            <rFont val="Calibri"/>
            <family val="2"/>
            <scheme val="minor"/>
          </rPr>
          <t>Introduzca el código SNIP</t>
        </r>
      </text>
    </comment>
    <comment ref="C31" authorId="1">
      <text>
        <r>
          <rPr>
            <sz val="11"/>
            <color theme="1"/>
            <rFont val="Calibri"/>
            <family val="2"/>
            <scheme val="minor"/>
          </rPr>
          <t>Introduzca la fecha de inicio del proceso, en formato dd-mm-aaaa</t>
        </r>
      </text>
    </comment>
    <comment ref="F31" authorId="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2" authorId="1">
      <text/>
    </comment>
    <comment ref="C33" authorId="1">
      <text>
        <r>
          <rPr>
            <sz val="11"/>
            <color theme="1"/>
            <rFont val="Calibri"/>
            <family val="2"/>
            <scheme val="minor"/>
          </rPr>
          <t>Introduzca la fecha prevista de adjudicación, en formato dd-mm-aaaa</t>
        </r>
      </text>
    </comment>
    <comment ref="F33" authorId="1">
      <text/>
    </comment>
    <comment ref="F34" authorId="1">
      <text/>
    </comment>
    <comment ref="A36" authorId="1">
      <text>
        <r>
          <rPr>
            <sz val="11"/>
            <color theme="1"/>
            <rFont val="Calibri"/>
            <family val="2"/>
            <scheme val="minor"/>
          </rPr>
          <t>Introduzca un codigo UNSPSC</t>
        </r>
      </text>
    </comment>
    <comment ref="B36" authorId="1">
      <text>
        <r>
          <rPr>
            <sz val="11"/>
            <color theme="1"/>
            <rFont val="Calibri"/>
            <family val="2"/>
            <scheme val="minor"/>
          </rPr>
          <t>Descripción calculada automáticamente a partir de código del artículo</t>
        </r>
      </text>
    </comment>
    <comment ref="C36" authorId="1">
      <text>
        <r>
          <rPr>
            <sz val="11"/>
            <color theme="1"/>
            <rFont val="Calibri"/>
            <family val="2"/>
            <scheme val="minor"/>
          </rPr>
          <t>Seleccione un valor de la lista</t>
        </r>
      </text>
    </comment>
    <comment ref="D36" authorId="1">
      <text>
        <r>
          <rPr>
            <sz val="11"/>
            <color theme="1"/>
            <rFont val="Calibri"/>
            <family val="2"/>
            <scheme val="minor"/>
          </rPr>
          <t>Introduzca un número con dos decimales como máximo. Debe ser igual o mayor a la "Cantidad Real Consumida"</t>
        </r>
      </text>
    </comment>
    <comment ref="E36" authorId="1">
      <text>
        <r>
          <rPr>
            <sz val="11"/>
            <color theme="1"/>
            <rFont val="Calibri"/>
            <family val="2"/>
            <scheme val="minor"/>
          </rPr>
          <t>Introduzca un número con dos decimales como máximo</t>
        </r>
      </text>
    </comment>
    <comment ref="F36" authorId="1">
      <text>
        <r>
          <rPr>
            <sz val="11"/>
            <color theme="1"/>
            <rFont val="Calibri"/>
            <family val="2"/>
            <scheme val="minor"/>
          </rPr>
          <t>Monto calculado automáticamente por el sistema</t>
        </r>
      </text>
    </comment>
    <comment ref="A42" authorId="1">
      <text>
        <r>
          <rPr>
            <sz val="11"/>
            <color theme="1"/>
            <rFont val="Calibri"/>
            <family val="2"/>
            <scheme val="minor"/>
          </rPr>
          <t>Introducir un texto con el nombre o referencia de la contratación</t>
        </r>
      </text>
    </comment>
    <comment ref="B42" authorId="1">
      <text>
        <r>
          <rPr>
            <sz val="11"/>
            <color theme="1"/>
            <rFont val="Calibri"/>
            <family val="2"/>
            <scheme val="minor"/>
          </rPr>
          <t>Introduzca un texto con la finalidad de la contratación</t>
        </r>
      </text>
    </comment>
    <comment ref="C42" authorId="1">
      <text>
        <r>
          <rPr>
            <sz val="11"/>
            <color theme="1"/>
            <rFont val="Calibri"/>
            <family val="2"/>
            <scheme val="minor"/>
          </rPr>
          <t>Seleccionar un valor del listado</t>
        </r>
      </text>
    </comment>
    <comment ref="D42" authorId="1">
      <text>
        <r>
          <rPr>
            <sz val="11"/>
            <color theme="1"/>
            <rFont val="Calibri"/>
            <family val="2"/>
            <scheme val="minor"/>
          </rPr>
          <t>Seleccione el tipo de procedimiento</t>
        </r>
      </text>
    </comment>
    <comment ref="E42" authorId="1">
      <text>
        <r>
          <rPr>
            <sz val="11"/>
            <color theme="1"/>
            <rFont val="Calibri"/>
            <family val="2"/>
            <scheme val="minor"/>
          </rPr>
          <t>Seleccione un valor de la lista</t>
        </r>
      </text>
    </comment>
    <comment ref="F42" authorId="1">
      <text>
        <r>
          <rPr>
            <sz val="11"/>
            <color theme="1"/>
            <rFont val="Calibri"/>
            <family val="2"/>
            <scheme val="minor"/>
          </rPr>
          <t>Introduzca el código SNIP</t>
        </r>
      </text>
    </comment>
    <comment ref="C43" authorId="1">
      <text>
        <r>
          <rPr>
            <sz val="11"/>
            <color theme="1"/>
            <rFont val="Calibri"/>
            <family val="2"/>
            <scheme val="minor"/>
          </rPr>
          <t>Introduzca la fecha de inicio del proceso, en formato dd-mm-aaaa</t>
        </r>
      </text>
    </comment>
    <comment ref="F43" authorId="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4" authorId="1">
      <text/>
    </comment>
    <comment ref="C45" authorId="1">
      <text>
        <r>
          <rPr>
            <sz val="11"/>
            <color theme="1"/>
            <rFont val="Calibri"/>
            <family val="2"/>
            <scheme val="minor"/>
          </rPr>
          <t>Introduzca la fecha prevista de adjudicación, en formato dd-mm-aaaa</t>
        </r>
      </text>
    </comment>
    <comment ref="F45" authorId="1">
      <text/>
    </comment>
    <comment ref="F46" authorId="1">
      <text/>
    </comment>
    <comment ref="A48" authorId="1">
      <text>
        <r>
          <rPr>
            <sz val="11"/>
            <color theme="1"/>
            <rFont val="Calibri"/>
            <family val="2"/>
            <scheme val="minor"/>
          </rPr>
          <t>Introduzca un codigo UNSPSC</t>
        </r>
      </text>
    </comment>
    <comment ref="B48" authorId="1">
      <text>
        <r>
          <rPr>
            <sz val="11"/>
            <color theme="1"/>
            <rFont val="Calibri"/>
            <family val="2"/>
            <scheme val="minor"/>
          </rPr>
          <t>Descripción calculada automáticamente a partir de código del artículo</t>
        </r>
      </text>
    </comment>
    <comment ref="C48" authorId="1">
      <text>
        <r>
          <rPr>
            <sz val="11"/>
            <color theme="1"/>
            <rFont val="Calibri"/>
            <family val="2"/>
            <scheme val="minor"/>
          </rPr>
          <t>Seleccione un valor de la lista</t>
        </r>
      </text>
    </comment>
    <comment ref="D48" authorId="1">
      <text>
        <r>
          <rPr>
            <sz val="11"/>
            <color theme="1"/>
            <rFont val="Calibri"/>
            <family val="2"/>
            <scheme val="minor"/>
          </rPr>
          <t>Introduzca un número con dos decimales como máximo. Debe ser igual o mayor a la "Cantidad Real Consumida"</t>
        </r>
      </text>
    </comment>
    <comment ref="E48" authorId="1">
      <text>
        <r>
          <rPr>
            <sz val="11"/>
            <color theme="1"/>
            <rFont val="Calibri"/>
            <family val="2"/>
            <scheme val="minor"/>
          </rPr>
          <t>Introduzca un número con dos decimales como máximo</t>
        </r>
      </text>
    </comment>
    <comment ref="F48" authorId="1">
      <text>
        <r>
          <rPr>
            <sz val="11"/>
            <color theme="1"/>
            <rFont val="Calibri"/>
            <family val="2"/>
            <scheme val="minor"/>
          </rPr>
          <t>Monto calculado automáticamente por el sistema</t>
        </r>
      </text>
    </comment>
    <comment ref="A83" authorId="1">
      <text>
        <r>
          <rPr>
            <sz val="11"/>
            <color theme="1"/>
            <rFont val="Calibri"/>
            <family val="2"/>
            <scheme val="minor"/>
          </rPr>
          <t>Introducir un texto con el nombre o referencia de la contratación</t>
        </r>
      </text>
    </comment>
    <comment ref="B83" authorId="1">
      <text>
        <r>
          <rPr>
            <sz val="11"/>
            <color theme="1"/>
            <rFont val="Calibri"/>
            <family val="2"/>
            <scheme val="minor"/>
          </rPr>
          <t>Introduzca un texto con la finalidad de la contratación</t>
        </r>
      </text>
    </comment>
    <comment ref="C83" authorId="1">
      <text>
        <r>
          <rPr>
            <sz val="11"/>
            <color theme="1"/>
            <rFont val="Calibri"/>
            <family val="2"/>
            <scheme val="minor"/>
          </rPr>
          <t>Seleccionar un valor del listado</t>
        </r>
      </text>
    </comment>
    <comment ref="D83" authorId="1">
      <text>
        <r>
          <rPr>
            <sz val="11"/>
            <color theme="1"/>
            <rFont val="Calibri"/>
            <family val="2"/>
            <scheme val="minor"/>
          </rPr>
          <t>Seleccione el tipo de procedimiento</t>
        </r>
      </text>
    </comment>
    <comment ref="E83" authorId="1">
      <text>
        <r>
          <rPr>
            <sz val="11"/>
            <color theme="1"/>
            <rFont val="Calibri"/>
            <family val="2"/>
            <scheme val="minor"/>
          </rPr>
          <t>Seleccione un valor de la lista</t>
        </r>
      </text>
    </comment>
    <comment ref="F83" authorId="1">
      <text>
        <r>
          <rPr>
            <sz val="11"/>
            <color theme="1"/>
            <rFont val="Calibri"/>
            <family val="2"/>
            <scheme val="minor"/>
          </rPr>
          <t>Introduzca el código SNIP</t>
        </r>
      </text>
    </comment>
    <comment ref="C84" authorId="1">
      <text>
        <r>
          <rPr>
            <sz val="11"/>
            <color theme="1"/>
            <rFont val="Calibri"/>
            <family val="2"/>
            <scheme val="minor"/>
          </rPr>
          <t>Introduzca la fecha de inicio del proceso, en formato dd-mm-aaaa</t>
        </r>
      </text>
    </comment>
    <comment ref="F84" authorId="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5" authorId="1">
      <text/>
    </comment>
    <comment ref="C86" authorId="1">
      <text>
        <r>
          <rPr>
            <sz val="11"/>
            <color theme="1"/>
            <rFont val="Calibri"/>
            <family val="2"/>
            <scheme val="minor"/>
          </rPr>
          <t>Introduzca la fecha prevista de adjudicación, en formato dd-mm-aaaa</t>
        </r>
      </text>
    </comment>
    <comment ref="F86" authorId="1">
      <text/>
    </comment>
    <comment ref="F87" authorId="1">
      <text/>
    </comment>
    <comment ref="A89" authorId="1">
      <text>
        <r>
          <rPr>
            <sz val="11"/>
            <color theme="1"/>
            <rFont val="Calibri"/>
            <family val="2"/>
            <scheme val="minor"/>
          </rPr>
          <t>Introduzca un codigo UNSPSC</t>
        </r>
      </text>
    </comment>
    <comment ref="B89" authorId="1">
      <text>
        <r>
          <rPr>
            <sz val="11"/>
            <color theme="1"/>
            <rFont val="Calibri"/>
            <family val="2"/>
            <scheme val="minor"/>
          </rPr>
          <t>Descripción calculada automáticamente a partir de código del artículo</t>
        </r>
      </text>
    </comment>
    <comment ref="C89" authorId="1">
      <text>
        <r>
          <rPr>
            <sz val="11"/>
            <color theme="1"/>
            <rFont val="Calibri"/>
            <family val="2"/>
            <scheme val="minor"/>
          </rPr>
          <t>Seleccione un valor de la lista</t>
        </r>
      </text>
    </comment>
    <comment ref="D89" authorId="1">
      <text>
        <r>
          <rPr>
            <sz val="11"/>
            <color theme="1"/>
            <rFont val="Calibri"/>
            <family val="2"/>
            <scheme val="minor"/>
          </rPr>
          <t>Introduzca un número con dos decimales como máximo. Debe ser igual o mayor a la "Cantidad Real Consumida"</t>
        </r>
      </text>
    </comment>
    <comment ref="E89" authorId="1">
      <text>
        <r>
          <rPr>
            <sz val="11"/>
            <color theme="1"/>
            <rFont val="Calibri"/>
            <family val="2"/>
            <scheme val="minor"/>
          </rPr>
          <t>Introduzca un número con dos decimales como máximo</t>
        </r>
      </text>
    </comment>
    <comment ref="F89" authorId="1">
      <text>
        <r>
          <rPr>
            <sz val="11"/>
            <color theme="1"/>
            <rFont val="Calibri"/>
            <family val="2"/>
            <scheme val="minor"/>
          </rPr>
          <t>Monto calculado automáticamente por el sistema</t>
        </r>
      </text>
    </comment>
    <comment ref="A132" authorId="1">
      <text>
        <r>
          <rPr>
            <sz val="11"/>
            <color theme="1"/>
            <rFont val="Calibri"/>
            <family val="2"/>
            <scheme val="minor"/>
          </rPr>
          <t>Introducir un texto con el nombre o referencia de la contratación</t>
        </r>
      </text>
    </comment>
    <comment ref="B132" authorId="1">
      <text>
        <r>
          <rPr>
            <sz val="11"/>
            <color theme="1"/>
            <rFont val="Calibri"/>
            <family val="2"/>
            <scheme val="minor"/>
          </rPr>
          <t>Introduzca un texto con la finalidad de la contratación</t>
        </r>
      </text>
    </comment>
    <comment ref="C132" authorId="1">
      <text>
        <r>
          <rPr>
            <sz val="11"/>
            <color theme="1"/>
            <rFont val="Calibri"/>
            <family val="2"/>
            <scheme val="minor"/>
          </rPr>
          <t>Seleccionar un valor del listado</t>
        </r>
      </text>
    </comment>
    <comment ref="D132" authorId="1">
      <text>
        <r>
          <rPr>
            <sz val="11"/>
            <color theme="1"/>
            <rFont val="Calibri"/>
            <family val="2"/>
            <scheme val="minor"/>
          </rPr>
          <t>Seleccione el tipo de procedimiento</t>
        </r>
      </text>
    </comment>
    <comment ref="E132" authorId="1">
      <text>
        <r>
          <rPr>
            <sz val="11"/>
            <color theme="1"/>
            <rFont val="Calibri"/>
            <family val="2"/>
            <scheme val="minor"/>
          </rPr>
          <t>Seleccione un valor de la lista</t>
        </r>
      </text>
    </comment>
    <comment ref="F132" authorId="1">
      <text>
        <r>
          <rPr>
            <sz val="11"/>
            <color theme="1"/>
            <rFont val="Calibri"/>
            <family val="2"/>
            <scheme val="minor"/>
          </rPr>
          <t>Introduzca el código SNIP</t>
        </r>
      </text>
    </comment>
    <comment ref="C133" authorId="1">
      <text>
        <r>
          <rPr>
            <sz val="11"/>
            <color theme="1"/>
            <rFont val="Calibri"/>
            <family val="2"/>
            <scheme val="minor"/>
          </rPr>
          <t>Introduzca la fecha de inicio del proceso, en formato dd-mm-aaaa</t>
        </r>
      </text>
    </comment>
    <comment ref="F133" authorId="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4" authorId="1">
      <text/>
    </comment>
    <comment ref="C135" authorId="1">
      <text>
        <r>
          <rPr>
            <sz val="11"/>
            <color theme="1"/>
            <rFont val="Calibri"/>
            <family val="2"/>
            <scheme val="minor"/>
          </rPr>
          <t>Introduzca la fecha prevista de adjudicación, en formato dd-mm-aaaa</t>
        </r>
      </text>
    </comment>
    <comment ref="F135" authorId="1">
      <text/>
    </comment>
    <comment ref="F136" authorId="1">
      <text/>
    </comment>
    <comment ref="A138" authorId="1">
      <text>
        <r>
          <rPr>
            <sz val="11"/>
            <color theme="1"/>
            <rFont val="Calibri"/>
            <family val="2"/>
            <scheme val="minor"/>
          </rPr>
          <t>Introduzca un codigo UNSPSC</t>
        </r>
      </text>
    </comment>
    <comment ref="B138" authorId="1">
      <text>
        <r>
          <rPr>
            <sz val="11"/>
            <color theme="1"/>
            <rFont val="Calibri"/>
            <family val="2"/>
            <scheme val="minor"/>
          </rPr>
          <t>Descripción calculada automáticamente a partir de código del artículo</t>
        </r>
      </text>
    </comment>
    <comment ref="C138" authorId="1">
      <text>
        <r>
          <rPr>
            <sz val="11"/>
            <color theme="1"/>
            <rFont val="Calibri"/>
            <family val="2"/>
            <scheme val="minor"/>
          </rPr>
          <t>Seleccione un valor de la lista</t>
        </r>
      </text>
    </comment>
    <comment ref="D138" authorId="1">
      <text>
        <r>
          <rPr>
            <sz val="11"/>
            <color theme="1"/>
            <rFont val="Calibri"/>
            <family val="2"/>
            <scheme val="minor"/>
          </rPr>
          <t>Introduzca un número con dos decimales como máximo. Debe ser igual o mayor a la "Cantidad Real Consumida"</t>
        </r>
      </text>
    </comment>
    <comment ref="E138" authorId="1">
      <text>
        <r>
          <rPr>
            <sz val="11"/>
            <color theme="1"/>
            <rFont val="Calibri"/>
            <family val="2"/>
            <scheme val="minor"/>
          </rPr>
          <t>Introduzca un número con dos decimales como máximo</t>
        </r>
      </text>
    </comment>
    <comment ref="F138" authorId="1">
      <text>
        <r>
          <rPr>
            <sz val="11"/>
            <color theme="1"/>
            <rFont val="Calibri"/>
            <family val="2"/>
            <scheme val="minor"/>
          </rPr>
          <t>Monto calculado automáticamente por el sistema</t>
        </r>
      </text>
    </comment>
    <comment ref="A143" authorId="1">
      <text>
        <r>
          <rPr>
            <sz val="11"/>
            <color theme="1"/>
            <rFont val="Calibri"/>
            <family val="2"/>
            <scheme val="minor"/>
          </rPr>
          <t>Introducir un texto con el nombre o referencia de la contratación</t>
        </r>
      </text>
    </comment>
    <comment ref="B143" authorId="1">
      <text>
        <r>
          <rPr>
            <sz val="11"/>
            <color theme="1"/>
            <rFont val="Calibri"/>
            <family val="2"/>
            <scheme val="minor"/>
          </rPr>
          <t>Introduzca un texto con la finalidad de la contratación</t>
        </r>
      </text>
    </comment>
    <comment ref="C143" authorId="1">
      <text>
        <r>
          <rPr>
            <sz val="11"/>
            <color theme="1"/>
            <rFont val="Calibri"/>
            <family val="2"/>
            <scheme val="minor"/>
          </rPr>
          <t>Seleccionar un valor del listado</t>
        </r>
      </text>
    </comment>
    <comment ref="D143" authorId="1">
      <text>
        <r>
          <rPr>
            <sz val="11"/>
            <color theme="1"/>
            <rFont val="Calibri"/>
            <family val="2"/>
            <scheme val="minor"/>
          </rPr>
          <t>Seleccione el tipo de procedimiento</t>
        </r>
      </text>
    </comment>
    <comment ref="E143" authorId="1">
      <text>
        <r>
          <rPr>
            <sz val="11"/>
            <color theme="1"/>
            <rFont val="Calibri"/>
            <family val="2"/>
            <scheme val="minor"/>
          </rPr>
          <t>Seleccione un valor de la lista</t>
        </r>
      </text>
    </comment>
    <comment ref="F143" authorId="1">
      <text>
        <r>
          <rPr>
            <sz val="11"/>
            <color theme="1"/>
            <rFont val="Calibri"/>
            <family val="2"/>
            <scheme val="minor"/>
          </rPr>
          <t>Introduzca el código SNIP</t>
        </r>
      </text>
    </comment>
    <comment ref="C144" authorId="1">
      <text>
        <r>
          <rPr>
            <sz val="11"/>
            <color theme="1"/>
            <rFont val="Calibri"/>
            <family val="2"/>
            <scheme val="minor"/>
          </rPr>
          <t>Introduzca la fecha de inicio del proceso, en formato dd-mm-aaaa</t>
        </r>
      </text>
    </comment>
    <comment ref="F144" authorId="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5" authorId="1">
      <text/>
    </comment>
    <comment ref="C146" authorId="1">
      <text>
        <r>
          <rPr>
            <sz val="11"/>
            <color theme="1"/>
            <rFont val="Calibri"/>
            <family val="2"/>
            <scheme val="minor"/>
          </rPr>
          <t>Introduzca la fecha prevista de adjudicación, en formato dd-mm-aaaa</t>
        </r>
      </text>
    </comment>
    <comment ref="F146" authorId="1">
      <text/>
    </comment>
    <comment ref="F147" authorId="1">
      <text/>
    </comment>
    <comment ref="A149" authorId="1">
      <text>
        <r>
          <rPr>
            <sz val="11"/>
            <color theme="1"/>
            <rFont val="Calibri"/>
            <family val="2"/>
            <scheme val="minor"/>
          </rPr>
          <t>Introduzca un codigo UNSPSC</t>
        </r>
      </text>
    </comment>
    <comment ref="B149" authorId="1">
      <text>
        <r>
          <rPr>
            <sz val="11"/>
            <color theme="1"/>
            <rFont val="Calibri"/>
            <family val="2"/>
            <scheme val="minor"/>
          </rPr>
          <t>Descripción calculada automáticamente a partir de código del artículo</t>
        </r>
      </text>
    </comment>
    <comment ref="C149" authorId="1">
      <text>
        <r>
          <rPr>
            <sz val="11"/>
            <color theme="1"/>
            <rFont val="Calibri"/>
            <family val="2"/>
            <scheme val="minor"/>
          </rPr>
          <t>Seleccione un valor de la lista</t>
        </r>
      </text>
    </comment>
    <comment ref="D149" authorId="1">
      <text>
        <r>
          <rPr>
            <sz val="11"/>
            <color theme="1"/>
            <rFont val="Calibri"/>
            <family val="2"/>
            <scheme val="minor"/>
          </rPr>
          <t>Introduzca un número con dos decimales como máximo. Debe ser igual o mayor a la "Cantidad Real Consumida"</t>
        </r>
      </text>
    </comment>
    <comment ref="E149" authorId="1">
      <text>
        <r>
          <rPr>
            <sz val="11"/>
            <color theme="1"/>
            <rFont val="Calibri"/>
            <family val="2"/>
            <scheme val="minor"/>
          </rPr>
          <t>Introduzca un número con dos decimales como máximo</t>
        </r>
      </text>
    </comment>
    <comment ref="F149" authorId="1">
      <text>
        <r>
          <rPr>
            <sz val="11"/>
            <color theme="1"/>
            <rFont val="Calibri"/>
            <family val="2"/>
            <scheme val="minor"/>
          </rPr>
          <t>Monto calculado automáticamente por el sistema</t>
        </r>
      </text>
    </comment>
    <comment ref="A156" authorId="1">
      <text>
        <r>
          <rPr>
            <sz val="11"/>
            <color theme="1"/>
            <rFont val="Calibri"/>
            <family val="2"/>
            <scheme val="minor"/>
          </rPr>
          <t>Introducir un texto con el nombre o referencia de la contratación</t>
        </r>
      </text>
    </comment>
    <comment ref="B156" authorId="1">
      <text>
        <r>
          <rPr>
            <sz val="11"/>
            <color theme="1"/>
            <rFont val="Calibri"/>
            <family val="2"/>
            <scheme val="minor"/>
          </rPr>
          <t>Introduzca un texto con la finalidad de la contratación</t>
        </r>
      </text>
    </comment>
    <comment ref="C156" authorId="1">
      <text>
        <r>
          <rPr>
            <sz val="11"/>
            <color theme="1"/>
            <rFont val="Calibri"/>
            <family val="2"/>
            <scheme val="minor"/>
          </rPr>
          <t>Seleccionar un valor del listado</t>
        </r>
      </text>
    </comment>
    <comment ref="D156" authorId="1">
      <text>
        <r>
          <rPr>
            <sz val="11"/>
            <color theme="1"/>
            <rFont val="Calibri"/>
            <family val="2"/>
            <scheme val="minor"/>
          </rPr>
          <t>Seleccione el tipo de procedimiento</t>
        </r>
      </text>
    </comment>
    <comment ref="E156" authorId="1">
      <text>
        <r>
          <rPr>
            <sz val="11"/>
            <color theme="1"/>
            <rFont val="Calibri"/>
            <family val="2"/>
            <scheme val="minor"/>
          </rPr>
          <t>Seleccione un valor de la lista</t>
        </r>
      </text>
    </comment>
    <comment ref="F156" authorId="1">
      <text>
        <r>
          <rPr>
            <sz val="11"/>
            <color theme="1"/>
            <rFont val="Calibri"/>
            <family val="2"/>
            <scheme val="minor"/>
          </rPr>
          <t>Introduzca el código SNIP</t>
        </r>
      </text>
    </comment>
    <comment ref="C157" authorId="1">
      <text>
        <r>
          <rPr>
            <sz val="11"/>
            <color theme="1"/>
            <rFont val="Calibri"/>
            <family val="2"/>
            <scheme val="minor"/>
          </rPr>
          <t>Introduzca la fecha de inicio del proceso, en formato dd-mm-aaaa</t>
        </r>
      </text>
    </comment>
    <comment ref="F157" authorId="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8" authorId="1">
      <text/>
    </comment>
    <comment ref="C159" authorId="1">
      <text>
        <r>
          <rPr>
            <sz val="11"/>
            <color theme="1"/>
            <rFont val="Calibri"/>
            <family val="2"/>
            <scheme val="minor"/>
          </rPr>
          <t>Introduzca la fecha prevista de adjudicación, en formato dd-mm-aaaa</t>
        </r>
      </text>
    </comment>
    <comment ref="F159" authorId="1">
      <text/>
    </comment>
    <comment ref="F160" authorId="1">
      <text/>
    </comment>
    <comment ref="A162" authorId="1">
      <text>
        <r>
          <rPr>
            <sz val="11"/>
            <color theme="1"/>
            <rFont val="Calibri"/>
            <family val="2"/>
            <scheme val="minor"/>
          </rPr>
          <t>Introduzca un codigo UNSPSC</t>
        </r>
      </text>
    </comment>
    <comment ref="B162" authorId="1">
      <text>
        <r>
          <rPr>
            <sz val="11"/>
            <color theme="1"/>
            <rFont val="Calibri"/>
            <family val="2"/>
            <scheme val="minor"/>
          </rPr>
          <t>Descripción calculada automáticamente a partir de código del artículo</t>
        </r>
      </text>
    </comment>
    <comment ref="C162" authorId="1">
      <text>
        <r>
          <rPr>
            <sz val="11"/>
            <color theme="1"/>
            <rFont val="Calibri"/>
            <family val="2"/>
            <scheme val="minor"/>
          </rPr>
          <t>Seleccione un valor de la lista</t>
        </r>
      </text>
    </comment>
    <comment ref="D162" authorId="1">
      <text>
        <r>
          <rPr>
            <sz val="11"/>
            <color theme="1"/>
            <rFont val="Calibri"/>
            <family val="2"/>
            <scheme val="minor"/>
          </rPr>
          <t>Introduzca un número con dos decimales como máximo. Debe ser igual o mayor a la "Cantidad Real Consumida"</t>
        </r>
      </text>
    </comment>
    <comment ref="E162" authorId="1">
      <text>
        <r>
          <rPr>
            <sz val="11"/>
            <color theme="1"/>
            <rFont val="Calibri"/>
            <family val="2"/>
            <scheme val="minor"/>
          </rPr>
          <t>Introduzca un número con dos decimales como máximo</t>
        </r>
      </text>
    </comment>
    <comment ref="F162" authorId="1">
      <text>
        <r>
          <rPr>
            <sz val="11"/>
            <color theme="1"/>
            <rFont val="Calibri"/>
            <family val="2"/>
            <scheme val="minor"/>
          </rPr>
          <t>Monto calculado automáticamente por el sistema</t>
        </r>
      </text>
    </comment>
    <comment ref="A167" authorId="1">
      <text>
        <r>
          <rPr>
            <sz val="11"/>
            <color theme="1"/>
            <rFont val="Calibri"/>
            <family val="2"/>
            <scheme val="minor"/>
          </rPr>
          <t>Introducir un texto con el nombre o referencia de la contratación</t>
        </r>
      </text>
    </comment>
    <comment ref="B167" authorId="1">
      <text>
        <r>
          <rPr>
            <sz val="11"/>
            <color theme="1"/>
            <rFont val="Calibri"/>
            <family val="2"/>
            <scheme val="minor"/>
          </rPr>
          <t>Introduzca un texto con la finalidad de la contratación</t>
        </r>
      </text>
    </comment>
    <comment ref="C167" authorId="1">
      <text>
        <r>
          <rPr>
            <sz val="11"/>
            <color theme="1"/>
            <rFont val="Calibri"/>
            <family val="2"/>
            <scheme val="minor"/>
          </rPr>
          <t>Seleccionar un valor del listado</t>
        </r>
      </text>
    </comment>
    <comment ref="D167" authorId="1">
      <text>
        <r>
          <rPr>
            <sz val="11"/>
            <color theme="1"/>
            <rFont val="Calibri"/>
            <family val="2"/>
            <scheme val="minor"/>
          </rPr>
          <t>Seleccione el tipo de procedimiento</t>
        </r>
      </text>
    </comment>
    <comment ref="E167" authorId="1">
      <text>
        <r>
          <rPr>
            <sz val="11"/>
            <color theme="1"/>
            <rFont val="Calibri"/>
            <family val="2"/>
            <scheme val="minor"/>
          </rPr>
          <t>Seleccione un valor de la lista</t>
        </r>
      </text>
    </comment>
    <comment ref="F167" authorId="1">
      <text>
        <r>
          <rPr>
            <sz val="11"/>
            <color theme="1"/>
            <rFont val="Calibri"/>
            <family val="2"/>
            <scheme val="minor"/>
          </rPr>
          <t>Introduzca el código SNIP</t>
        </r>
      </text>
    </comment>
    <comment ref="C168" authorId="1">
      <text>
        <r>
          <rPr>
            <sz val="11"/>
            <color theme="1"/>
            <rFont val="Calibri"/>
            <family val="2"/>
            <scheme val="minor"/>
          </rPr>
          <t>Introduzca la fecha de inicio del proceso, en formato dd-mm-aaaa</t>
        </r>
      </text>
    </comment>
    <comment ref="F168" authorId="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69" authorId="1">
      <text/>
    </comment>
    <comment ref="C170" authorId="1">
      <text>
        <r>
          <rPr>
            <sz val="11"/>
            <color theme="1"/>
            <rFont val="Calibri"/>
            <family val="2"/>
            <scheme val="minor"/>
          </rPr>
          <t>Introduzca la fecha prevista de adjudicación, en formato dd-mm-aaaa</t>
        </r>
      </text>
    </comment>
    <comment ref="F170" authorId="1">
      <text/>
    </comment>
    <comment ref="F171" authorId="1">
      <text/>
    </comment>
    <comment ref="A173" authorId="1">
      <text>
        <r>
          <rPr>
            <sz val="11"/>
            <color theme="1"/>
            <rFont val="Calibri"/>
            <family val="2"/>
            <scheme val="minor"/>
          </rPr>
          <t>Introduzca un codigo UNSPSC</t>
        </r>
      </text>
    </comment>
    <comment ref="B173" authorId="1">
      <text>
        <r>
          <rPr>
            <sz val="11"/>
            <color theme="1"/>
            <rFont val="Calibri"/>
            <family val="2"/>
            <scheme val="minor"/>
          </rPr>
          <t>Descripción calculada automáticamente a partir de código del artículo</t>
        </r>
      </text>
    </comment>
    <comment ref="C173" authorId="1">
      <text>
        <r>
          <rPr>
            <sz val="11"/>
            <color theme="1"/>
            <rFont val="Calibri"/>
            <family val="2"/>
            <scheme val="minor"/>
          </rPr>
          <t>Seleccione un valor de la lista</t>
        </r>
      </text>
    </comment>
    <comment ref="D173" authorId="1">
      <text>
        <r>
          <rPr>
            <sz val="11"/>
            <color theme="1"/>
            <rFont val="Calibri"/>
            <family val="2"/>
            <scheme val="minor"/>
          </rPr>
          <t>Introduzca un número con dos decimales como máximo. Debe ser igual o mayor a la "Cantidad Real Consumida"</t>
        </r>
      </text>
    </comment>
    <comment ref="E173" authorId="1">
      <text>
        <r>
          <rPr>
            <sz val="11"/>
            <color theme="1"/>
            <rFont val="Calibri"/>
            <family val="2"/>
            <scheme val="minor"/>
          </rPr>
          <t>Introduzca un número con dos decimales como máximo</t>
        </r>
      </text>
    </comment>
    <comment ref="F173" authorId="1">
      <text>
        <r>
          <rPr>
            <sz val="11"/>
            <color theme="1"/>
            <rFont val="Calibri"/>
            <family val="2"/>
            <scheme val="minor"/>
          </rPr>
          <t>Monto calculado automáticamente por el sistema</t>
        </r>
      </text>
    </comment>
    <comment ref="A310" authorId="1">
      <text>
        <r>
          <rPr>
            <sz val="11"/>
            <color theme="1"/>
            <rFont val="Calibri"/>
            <family val="2"/>
            <scheme val="minor"/>
          </rPr>
          <t>Introducir un texto con el nombre o referencia de la contratación</t>
        </r>
      </text>
    </comment>
    <comment ref="B310" authorId="1">
      <text>
        <r>
          <rPr>
            <sz val="11"/>
            <color theme="1"/>
            <rFont val="Calibri"/>
            <family val="2"/>
            <scheme val="minor"/>
          </rPr>
          <t>Introduzca un texto con la finalidad de la contratación</t>
        </r>
      </text>
    </comment>
    <comment ref="C310" authorId="1">
      <text>
        <r>
          <rPr>
            <sz val="11"/>
            <color theme="1"/>
            <rFont val="Calibri"/>
            <family val="2"/>
            <scheme val="minor"/>
          </rPr>
          <t>Seleccionar un valor del listado</t>
        </r>
      </text>
    </comment>
    <comment ref="D310" authorId="1">
      <text>
        <r>
          <rPr>
            <sz val="11"/>
            <color theme="1"/>
            <rFont val="Calibri"/>
            <family val="2"/>
            <scheme val="minor"/>
          </rPr>
          <t>Seleccione el tipo de procedimiento</t>
        </r>
      </text>
    </comment>
    <comment ref="E310" authorId="1">
      <text>
        <r>
          <rPr>
            <sz val="11"/>
            <color theme="1"/>
            <rFont val="Calibri"/>
            <family val="2"/>
            <scheme val="minor"/>
          </rPr>
          <t>Seleccione un valor de la lista</t>
        </r>
      </text>
    </comment>
    <comment ref="F310" authorId="1">
      <text>
        <r>
          <rPr>
            <sz val="11"/>
            <color theme="1"/>
            <rFont val="Calibri"/>
            <family val="2"/>
            <scheme val="minor"/>
          </rPr>
          <t>Introduzca el código SNIP</t>
        </r>
      </text>
    </comment>
    <comment ref="C311" authorId="1">
      <text>
        <r>
          <rPr>
            <sz val="11"/>
            <color theme="1"/>
            <rFont val="Calibri"/>
            <family val="2"/>
            <scheme val="minor"/>
          </rPr>
          <t>Introduzca la fecha de inicio del proceso, en formato dd-mm-aaaa</t>
        </r>
      </text>
    </comment>
    <comment ref="F311" authorId="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12" authorId="1">
      <text/>
    </comment>
    <comment ref="C313" authorId="1">
      <text>
        <r>
          <rPr>
            <sz val="11"/>
            <color theme="1"/>
            <rFont val="Calibri"/>
            <family val="2"/>
            <scheme val="minor"/>
          </rPr>
          <t>Introduzca la fecha prevista de adjudicación, en formato dd-mm-aaaa</t>
        </r>
      </text>
    </comment>
    <comment ref="F313" authorId="1">
      <text/>
    </comment>
    <comment ref="F314" authorId="1">
      <text/>
    </comment>
    <comment ref="A316" authorId="1">
      <text>
        <r>
          <rPr>
            <sz val="11"/>
            <color theme="1"/>
            <rFont val="Calibri"/>
            <family val="2"/>
            <scheme val="minor"/>
          </rPr>
          <t>Introduzca un codigo UNSPSC</t>
        </r>
      </text>
    </comment>
    <comment ref="B316" authorId="1">
      <text>
        <r>
          <rPr>
            <sz val="11"/>
            <color theme="1"/>
            <rFont val="Calibri"/>
            <family val="2"/>
            <scheme val="minor"/>
          </rPr>
          <t>Descripción calculada automáticamente a partir de código del artículo</t>
        </r>
      </text>
    </comment>
    <comment ref="C316" authorId="1">
      <text>
        <r>
          <rPr>
            <sz val="11"/>
            <color theme="1"/>
            <rFont val="Calibri"/>
            <family val="2"/>
            <scheme val="minor"/>
          </rPr>
          <t>Seleccione un valor de la lista</t>
        </r>
      </text>
    </comment>
    <comment ref="D316" authorId="1">
      <text>
        <r>
          <rPr>
            <sz val="11"/>
            <color theme="1"/>
            <rFont val="Calibri"/>
            <family val="2"/>
            <scheme val="minor"/>
          </rPr>
          <t>Introduzca un número con dos decimales como máximo. Debe ser igual o mayor a la "Cantidad Real Consumida"</t>
        </r>
      </text>
    </comment>
    <comment ref="E316" authorId="1">
      <text>
        <r>
          <rPr>
            <sz val="11"/>
            <color theme="1"/>
            <rFont val="Calibri"/>
            <family val="2"/>
            <scheme val="minor"/>
          </rPr>
          <t>Introduzca un número con dos decimales como máximo</t>
        </r>
      </text>
    </comment>
    <comment ref="F316" authorId="1">
      <text>
        <r>
          <rPr>
            <sz val="11"/>
            <color theme="1"/>
            <rFont val="Calibri"/>
            <family val="2"/>
            <scheme val="minor"/>
          </rPr>
          <t>Monto calculado automáticamente por el sistema</t>
        </r>
      </text>
    </comment>
    <comment ref="A321" authorId="1">
      <text>
        <r>
          <rPr>
            <sz val="11"/>
            <color theme="1"/>
            <rFont val="Calibri"/>
            <family val="2"/>
            <scheme val="minor"/>
          </rPr>
          <t>Introducir un texto con el nombre o referencia de la contratación</t>
        </r>
      </text>
    </comment>
    <comment ref="B321" authorId="1">
      <text>
        <r>
          <rPr>
            <sz val="11"/>
            <color theme="1"/>
            <rFont val="Calibri"/>
            <family val="2"/>
            <scheme val="minor"/>
          </rPr>
          <t>Introduzca un texto con la finalidad de la contratación</t>
        </r>
      </text>
    </comment>
    <comment ref="C321" authorId="1">
      <text>
        <r>
          <rPr>
            <sz val="11"/>
            <color theme="1"/>
            <rFont val="Calibri"/>
            <family val="2"/>
            <scheme val="minor"/>
          </rPr>
          <t>Seleccionar un valor del listado</t>
        </r>
      </text>
    </comment>
    <comment ref="D321" authorId="1">
      <text>
        <r>
          <rPr>
            <sz val="11"/>
            <color theme="1"/>
            <rFont val="Calibri"/>
            <family val="2"/>
            <scheme val="minor"/>
          </rPr>
          <t>Seleccione el tipo de procedimiento</t>
        </r>
      </text>
    </comment>
    <comment ref="E321" authorId="1">
      <text>
        <r>
          <rPr>
            <sz val="11"/>
            <color theme="1"/>
            <rFont val="Calibri"/>
            <family val="2"/>
            <scheme val="minor"/>
          </rPr>
          <t>Seleccione un valor de la lista</t>
        </r>
      </text>
    </comment>
    <comment ref="F321" authorId="1">
      <text>
        <r>
          <rPr>
            <sz val="11"/>
            <color theme="1"/>
            <rFont val="Calibri"/>
            <family val="2"/>
            <scheme val="minor"/>
          </rPr>
          <t>Introduzca el código SNIP</t>
        </r>
      </text>
    </comment>
    <comment ref="C322" authorId="1">
      <text>
        <r>
          <rPr>
            <sz val="11"/>
            <color theme="1"/>
            <rFont val="Calibri"/>
            <family val="2"/>
            <scheme val="minor"/>
          </rPr>
          <t>Introduzca la fecha de inicio del proceso, en formato dd-mm-aaaa</t>
        </r>
      </text>
    </comment>
    <comment ref="F322" authorId="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23" authorId="1">
      <text/>
    </comment>
    <comment ref="C324" authorId="1">
      <text>
        <r>
          <rPr>
            <sz val="11"/>
            <color theme="1"/>
            <rFont val="Calibri"/>
            <family val="2"/>
            <scheme val="minor"/>
          </rPr>
          <t>Introduzca la fecha prevista de adjudicación, en formato dd-mm-aaaa</t>
        </r>
      </text>
    </comment>
    <comment ref="F324" authorId="1">
      <text/>
    </comment>
    <comment ref="F325" authorId="1">
      <text/>
    </comment>
    <comment ref="A327" authorId="1">
      <text>
        <r>
          <rPr>
            <sz val="11"/>
            <color theme="1"/>
            <rFont val="Calibri"/>
            <family val="2"/>
            <scheme val="minor"/>
          </rPr>
          <t>Introduzca un codigo UNSPSC</t>
        </r>
      </text>
    </comment>
    <comment ref="B327" authorId="1">
      <text>
        <r>
          <rPr>
            <sz val="11"/>
            <color theme="1"/>
            <rFont val="Calibri"/>
            <family val="2"/>
            <scheme val="minor"/>
          </rPr>
          <t>Descripción calculada automáticamente a partir de código del artículo</t>
        </r>
      </text>
    </comment>
    <comment ref="C327" authorId="1">
      <text>
        <r>
          <rPr>
            <sz val="11"/>
            <color theme="1"/>
            <rFont val="Calibri"/>
            <family val="2"/>
            <scheme val="minor"/>
          </rPr>
          <t>Seleccione un valor de la lista</t>
        </r>
      </text>
    </comment>
    <comment ref="D327" authorId="1">
      <text>
        <r>
          <rPr>
            <sz val="11"/>
            <color theme="1"/>
            <rFont val="Calibri"/>
            <family val="2"/>
            <scheme val="minor"/>
          </rPr>
          <t>Introduzca un número con dos decimales como máximo. Debe ser igual o mayor a la "Cantidad Real Consumida"</t>
        </r>
      </text>
    </comment>
    <comment ref="E327" authorId="1">
      <text>
        <r>
          <rPr>
            <sz val="11"/>
            <color theme="1"/>
            <rFont val="Calibri"/>
            <family val="2"/>
            <scheme val="minor"/>
          </rPr>
          <t>Introduzca un número con dos decimales como máximo</t>
        </r>
      </text>
    </comment>
    <comment ref="F327" authorId="1">
      <text>
        <r>
          <rPr>
            <sz val="11"/>
            <color theme="1"/>
            <rFont val="Calibri"/>
            <family val="2"/>
            <scheme val="minor"/>
          </rPr>
          <t>Monto calculado automáticamente por el sistema</t>
        </r>
      </text>
    </comment>
    <comment ref="A335" authorId="1">
      <text>
        <r>
          <rPr>
            <sz val="11"/>
            <color theme="1"/>
            <rFont val="Calibri"/>
            <family val="2"/>
            <scheme val="minor"/>
          </rPr>
          <t>Introducir un texto con el nombre o referencia de la contratación</t>
        </r>
      </text>
    </comment>
    <comment ref="B335" authorId="1">
      <text>
        <r>
          <rPr>
            <sz val="11"/>
            <color theme="1"/>
            <rFont val="Calibri"/>
            <family val="2"/>
            <scheme val="minor"/>
          </rPr>
          <t>Introduzca un texto con la finalidad de la contratación</t>
        </r>
      </text>
    </comment>
    <comment ref="C335" authorId="1">
      <text>
        <r>
          <rPr>
            <sz val="11"/>
            <color theme="1"/>
            <rFont val="Calibri"/>
            <family val="2"/>
            <scheme val="minor"/>
          </rPr>
          <t>Seleccionar un valor del listado</t>
        </r>
      </text>
    </comment>
    <comment ref="D335" authorId="1">
      <text>
        <r>
          <rPr>
            <sz val="11"/>
            <color theme="1"/>
            <rFont val="Calibri"/>
            <family val="2"/>
            <scheme val="minor"/>
          </rPr>
          <t>Seleccione el tipo de procedimiento</t>
        </r>
      </text>
    </comment>
    <comment ref="E335" authorId="1">
      <text>
        <r>
          <rPr>
            <sz val="11"/>
            <color theme="1"/>
            <rFont val="Calibri"/>
            <family val="2"/>
            <scheme val="minor"/>
          </rPr>
          <t>Seleccione un valor de la lista</t>
        </r>
      </text>
    </comment>
    <comment ref="F335" authorId="1">
      <text>
        <r>
          <rPr>
            <sz val="11"/>
            <color theme="1"/>
            <rFont val="Calibri"/>
            <family val="2"/>
            <scheme val="minor"/>
          </rPr>
          <t>Introduzca el código SNIP</t>
        </r>
      </text>
    </comment>
    <comment ref="C336" authorId="1">
      <text>
        <r>
          <rPr>
            <sz val="11"/>
            <color theme="1"/>
            <rFont val="Calibri"/>
            <family val="2"/>
            <scheme val="minor"/>
          </rPr>
          <t>Introduzca la fecha de inicio del proceso, en formato dd-mm-aaaa</t>
        </r>
      </text>
    </comment>
    <comment ref="F336" authorId="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37" authorId="1">
      <text/>
    </comment>
    <comment ref="C338" authorId="1">
      <text>
        <r>
          <rPr>
            <sz val="11"/>
            <color theme="1"/>
            <rFont val="Calibri"/>
            <family val="2"/>
            <scheme val="minor"/>
          </rPr>
          <t>Introduzca la fecha prevista de adjudicación, en formato dd-mm-aaaa</t>
        </r>
      </text>
    </comment>
    <comment ref="F338" authorId="1">
      <text/>
    </comment>
    <comment ref="F339" authorId="1">
      <text/>
    </comment>
    <comment ref="A341" authorId="1">
      <text>
        <r>
          <rPr>
            <sz val="11"/>
            <color theme="1"/>
            <rFont val="Calibri"/>
            <family val="2"/>
            <scheme val="minor"/>
          </rPr>
          <t>Introduzca un codigo UNSPSC</t>
        </r>
      </text>
    </comment>
    <comment ref="B341" authorId="1">
      <text>
        <r>
          <rPr>
            <sz val="11"/>
            <color theme="1"/>
            <rFont val="Calibri"/>
            <family val="2"/>
            <scheme val="minor"/>
          </rPr>
          <t>Descripción calculada automáticamente a partir de código del artículo</t>
        </r>
      </text>
    </comment>
    <comment ref="C341" authorId="1">
      <text>
        <r>
          <rPr>
            <sz val="11"/>
            <color theme="1"/>
            <rFont val="Calibri"/>
            <family val="2"/>
            <scheme val="minor"/>
          </rPr>
          <t>Seleccione un valor de la lista</t>
        </r>
      </text>
    </comment>
    <comment ref="D341" authorId="1">
      <text>
        <r>
          <rPr>
            <sz val="11"/>
            <color theme="1"/>
            <rFont val="Calibri"/>
            <family val="2"/>
            <scheme val="minor"/>
          </rPr>
          <t>Introduzca un número con dos decimales como máximo. Debe ser igual o mayor a la "Cantidad Real Consumida"</t>
        </r>
      </text>
    </comment>
    <comment ref="E341" authorId="1">
      <text>
        <r>
          <rPr>
            <sz val="11"/>
            <color theme="1"/>
            <rFont val="Calibri"/>
            <family val="2"/>
            <scheme val="minor"/>
          </rPr>
          <t>Introduzca un número con dos decimales como máximo</t>
        </r>
      </text>
    </comment>
    <comment ref="F341" authorId="1">
      <text>
        <r>
          <rPr>
            <sz val="11"/>
            <color theme="1"/>
            <rFont val="Calibri"/>
            <family val="2"/>
            <scheme val="minor"/>
          </rPr>
          <t>Monto calculado automáticamente por el sistema</t>
        </r>
      </text>
    </comment>
    <comment ref="A349" authorId="1">
      <text>
        <r>
          <rPr>
            <sz val="11"/>
            <color theme="1"/>
            <rFont val="Calibri"/>
            <family val="2"/>
            <scheme val="minor"/>
          </rPr>
          <t>Introducir un texto con el nombre o referencia de la contratación</t>
        </r>
      </text>
    </comment>
    <comment ref="B349" authorId="1">
      <text>
        <r>
          <rPr>
            <sz val="11"/>
            <color theme="1"/>
            <rFont val="Calibri"/>
            <family val="2"/>
            <scheme val="minor"/>
          </rPr>
          <t>Introduzca un texto con la finalidad de la contratación</t>
        </r>
      </text>
    </comment>
    <comment ref="C349" authorId="1">
      <text>
        <r>
          <rPr>
            <sz val="11"/>
            <color theme="1"/>
            <rFont val="Calibri"/>
            <family val="2"/>
            <scheme val="minor"/>
          </rPr>
          <t>Seleccionar un valor del listado</t>
        </r>
      </text>
    </comment>
    <comment ref="D349" authorId="1">
      <text>
        <r>
          <rPr>
            <sz val="11"/>
            <color theme="1"/>
            <rFont val="Calibri"/>
            <family val="2"/>
            <scheme val="minor"/>
          </rPr>
          <t>Seleccione el tipo de procedimiento</t>
        </r>
      </text>
    </comment>
    <comment ref="E349" authorId="1">
      <text>
        <r>
          <rPr>
            <sz val="11"/>
            <color theme="1"/>
            <rFont val="Calibri"/>
            <family val="2"/>
            <scheme val="minor"/>
          </rPr>
          <t>Seleccione un valor de la lista</t>
        </r>
      </text>
    </comment>
    <comment ref="F349" authorId="1">
      <text>
        <r>
          <rPr>
            <sz val="11"/>
            <color theme="1"/>
            <rFont val="Calibri"/>
            <family val="2"/>
            <scheme val="minor"/>
          </rPr>
          <t>Introduzca el código SNIP</t>
        </r>
      </text>
    </comment>
    <comment ref="C350" authorId="1">
      <text>
        <r>
          <rPr>
            <sz val="11"/>
            <color theme="1"/>
            <rFont val="Calibri"/>
            <family val="2"/>
            <scheme val="minor"/>
          </rPr>
          <t>Introduzca la fecha de inicio del proceso, en formato dd-mm-aaaa</t>
        </r>
      </text>
    </comment>
    <comment ref="F350" authorId="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51" authorId="1">
      <text/>
    </comment>
    <comment ref="C352" authorId="1">
      <text>
        <r>
          <rPr>
            <sz val="11"/>
            <color theme="1"/>
            <rFont val="Calibri"/>
            <family val="2"/>
            <scheme val="minor"/>
          </rPr>
          <t>Introduzca la fecha prevista de adjudicación, en formato dd-mm-aaaa</t>
        </r>
      </text>
    </comment>
    <comment ref="F352" authorId="1">
      <text/>
    </comment>
    <comment ref="F353" authorId="1">
      <text/>
    </comment>
    <comment ref="A355" authorId="1">
      <text>
        <r>
          <rPr>
            <sz val="11"/>
            <color theme="1"/>
            <rFont val="Calibri"/>
            <family val="2"/>
            <scheme val="minor"/>
          </rPr>
          <t>Introduzca un codigo UNSPSC</t>
        </r>
      </text>
    </comment>
    <comment ref="B355" authorId="1">
      <text>
        <r>
          <rPr>
            <sz val="11"/>
            <color theme="1"/>
            <rFont val="Calibri"/>
            <family val="2"/>
            <scheme val="minor"/>
          </rPr>
          <t>Descripción calculada automáticamente a partir de código del artículo</t>
        </r>
      </text>
    </comment>
    <comment ref="C355" authorId="1">
      <text>
        <r>
          <rPr>
            <sz val="11"/>
            <color theme="1"/>
            <rFont val="Calibri"/>
            <family val="2"/>
            <scheme val="minor"/>
          </rPr>
          <t>Seleccione un valor de la lista</t>
        </r>
      </text>
    </comment>
    <comment ref="D355" authorId="1">
      <text>
        <r>
          <rPr>
            <sz val="11"/>
            <color theme="1"/>
            <rFont val="Calibri"/>
            <family val="2"/>
            <scheme val="minor"/>
          </rPr>
          <t>Introduzca un número con dos decimales como máximo. Debe ser igual o mayor a la "Cantidad Real Consumida"</t>
        </r>
      </text>
    </comment>
    <comment ref="E355" authorId="1">
      <text>
        <r>
          <rPr>
            <sz val="11"/>
            <color theme="1"/>
            <rFont val="Calibri"/>
            <family val="2"/>
            <scheme val="minor"/>
          </rPr>
          <t>Introduzca un número con dos decimales como máximo</t>
        </r>
      </text>
    </comment>
    <comment ref="F355" authorId="1">
      <text>
        <r>
          <rPr>
            <sz val="11"/>
            <color theme="1"/>
            <rFont val="Calibri"/>
            <family val="2"/>
            <scheme val="minor"/>
          </rPr>
          <t>Monto calculado automáticamente por el sistema</t>
        </r>
      </text>
    </comment>
    <comment ref="A361" authorId="1">
      <text>
        <r>
          <rPr>
            <sz val="11"/>
            <color theme="1"/>
            <rFont val="Calibri"/>
            <family val="2"/>
            <scheme val="minor"/>
          </rPr>
          <t>Introducir un texto con el nombre o referencia de la contratación</t>
        </r>
      </text>
    </comment>
    <comment ref="B361" authorId="1">
      <text>
        <r>
          <rPr>
            <sz val="11"/>
            <color theme="1"/>
            <rFont val="Calibri"/>
            <family val="2"/>
            <scheme val="minor"/>
          </rPr>
          <t>Introduzca un texto con la finalidad de la contratación</t>
        </r>
      </text>
    </comment>
    <comment ref="C361" authorId="1">
      <text>
        <r>
          <rPr>
            <sz val="11"/>
            <color theme="1"/>
            <rFont val="Calibri"/>
            <family val="2"/>
            <scheme val="minor"/>
          </rPr>
          <t>Seleccionar un valor del listado</t>
        </r>
      </text>
    </comment>
    <comment ref="D361" authorId="1">
      <text>
        <r>
          <rPr>
            <sz val="11"/>
            <color theme="1"/>
            <rFont val="Calibri"/>
            <family val="2"/>
            <scheme val="minor"/>
          </rPr>
          <t>Seleccione el tipo de procedimiento</t>
        </r>
      </text>
    </comment>
    <comment ref="E361" authorId="1">
      <text>
        <r>
          <rPr>
            <sz val="11"/>
            <color theme="1"/>
            <rFont val="Calibri"/>
            <family val="2"/>
            <scheme val="minor"/>
          </rPr>
          <t>Seleccione un valor de la lista</t>
        </r>
      </text>
    </comment>
    <comment ref="F361" authorId="1">
      <text>
        <r>
          <rPr>
            <sz val="11"/>
            <color theme="1"/>
            <rFont val="Calibri"/>
            <family val="2"/>
            <scheme val="minor"/>
          </rPr>
          <t>Introduzca el código SNIP</t>
        </r>
      </text>
    </comment>
    <comment ref="C362" authorId="1">
      <text>
        <r>
          <rPr>
            <sz val="11"/>
            <color theme="1"/>
            <rFont val="Calibri"/>
            <family val="2"/>
            <scheme val="minor"/>
          </rPr>
          <t>Introduzca la fecha de inicio del proceso, en formato dd-mm-aaaa</t>
        </r>
      </text>
    </comment>
    <comment ref="F362" authorId="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63" authorId="1">
      <text/>
    </comment>
    <comment ref="C364" authorId="1">
      <text>
        <r>
          <rPr>
            <sz val="11"/>
            <color theme="1"/>
            <rFont val="Calibri"/>
            <family val="2"/>
            <scheme val="minor"/>
          </rPr>
          <t>Introduzca la fecha prevista de adjudicación, en formato dd-mm-aaaa</t>
        </r>
      </text>
    </comment>
    <comment ref="F364" authorId="1">
      <text/>
    </comment>
    <comment ref="F365" authorId="1">
      <text/>
    </comment>
    <comment ref="A367" authorId="1">
      <text>
        <r>
          <rPr>
            <sz val="11"/>
            <color theme="1"/>
            <rFont val="Calibri"/>
            <family val="2"/>
            <scheme val="minor"/>
          </rPr>
          <t>Introduzca un codigo UNSPSC</t>
        </r>
      </text>
    </comment>
    <comment ref="B367" authorId="1">
      <text>
        <r>
          <rPr>
            <sz val="11"/>
            <color theme="1"/>
            <rFont val="Calibri"/>
            <family val="2"/>
            <scheme val="minor"/>
          </rPr>
          <t>Descripción calculada automáticamente a partir de código del artículo</t>
        </r>
      </text>
    </comment>
    <comment ref="C367" authorId="1">
      <text>
        <r>
          <rPr>
            <sz val="11"/>
            <color theme="1"/>
            <rFont val="Calibri"/>
            <family val="2"/>
            <scheme val="minor"/>
          </rPr>
          <t>Seleccione un valor de la lista</t>
        </r>
      </text>
    </comment>
    <comment ref="D367" authorId="1">
      <text>
        <r>
          <rPr>
            <sz val="11"/>
            <color theme="1"/>
            <rFont val="Calibri"/>
            <family val="2"/>
            <scheme val="minor"/>
          </rPr>
          <t>Introduzca un número con dos decimales como máximo. Debe ser igual o mayor a la "Cantidad Real Consumida"</t>
        </r>
      </text>
    </comment>
    <comment ref="E367" authorId="1">
      <text>
        <r>
          <rPr>
            <sz val="11"/>
            <color theme="1"/>
            <rFont val="Calibri"/>
            <family val="2"/>
            <scheme val="minor"/>
          </rPr>
          <t>Introduzca un número con dos decimales como máximo</t>
        </r>
      </text>
    </comment>
    <comment ref="F367" authorId="1">
      <text>
        <r>
          <rPr>
            <sz val="11"/>
            <color theme="1"/>
            <rFont val="Calibri"/>
            <family val="2"/>
            <scheme val="minor"/>
          </rPr>
          <t>Monto calculado automáticamente por el sistema</t>
        </r>
      </text>
    </comment>
    <comment ref="A373" authorId="1">
      <text>
        <r>
          <rPr>
            <sz val="11"/>
            <color theme="1"/>
            <rFont val="Calibri"/>
            <family val="2"/>
            <scheme val="minor"/>
          </rPr>
          <t>Introducir un texto con el nombre o referencia de la contratación</t>
        </r>
      </text>
    </comment>
    <comment ref="B373" authorId="1">
      <text>
        <r>
          <rPr>
            <sz val="11"/>
            <color theme="1"/>
            <rFont val="Calibri"/>
            <family val="2"/>
            <scheme val="minor"/>
          </rPr>
          <t>Introduzca un texto con la finalidad de la contratación</t>
        </r>
      </text>
    </comment>
    <comment ref="C373" authorId="1">
      <text>
        <r>
          <rPr>
            <sz val="11"/>
            <color theme="1"/>
            <rFont val="Calibri"/>
            <family val="2"/>
            <scheme val="minor"/>
          </rPr>
          <t>Seleccionar un valor del listado</t>
        </r>
      </text>
    </comment>
    <comment ref="D373" authorId="1">
      <text>
        <r>
          <rPr>
            <sz val="11"/>
            <color theme="1"/>
            <rFont val="Calibri"/>
            <family val="2"/>
            <scheme val="minor"/>
          </rPr>
          <t>Seleccione el tipo de procedimiento</t>
        </r>
      </text>
    </comment>
    <comment ref="E373" authorId="1">
      <text>
        <r>
          <rPr>
            <sz val="11"/>
            <color theme="1"/>
            <rFont val="Calibri"/>
            <family val="2"/>
            <scheme val="minor"/>
          </rPr>
          <t>Seleccione un valor de la lista</t>
        </r>
      </text>
    </comment>
    <comment ref="F373" authorId="1">
      <text>
        <r>
          <rPr>
            <sz val="11"/>
            <color theme="1"/>
            <rFont val="Calibri"/>
            <family val="2"/>
            <scheme val="minor"/>
          </rPr>
          <t>Introduzca el código SNIP</t>
        </r>
      </text>
    </comment>
    <comment ref="C374" authorId="1">
      <text>
        <r>
          <rPr>
            <sz val="11"/>
            <color theme="1"/>
            <rFont val="Calibri"/>
            <family val="2"/>
            <scheme val="minor"/>
          </rPr>
          <t>Introduzca la fecha de inicio del proceso, en formato dd-mm-aaaa</t>
        </r>
      </text>
    </comment>
    <comment ref="F374" authorId="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75" authorId="1">
      <text/>
    </comment>
    <comment ref="C376" authorId="1">
      <text>
        <r>
          <rPr>
            <sz val="11"/>
            <color theme="1"/>
            <rFont val="Calibri"/>
            <family val="2"/>
            <scheme val="minor"/>
          </rPr>
          <t>Introduzca la fecha prevista de adjudicación, en formato dd-mm-aaaa</t>
        </r>
      </text>
    </comment>
    <comment ref="F376" authorId="1">
      <text/>
    </comment>
    <comment ref="F377" authorId="1">
      <text/>
    </comment>
    <comment ref="A379" authorId="1">
      <text>
        <r>
          <rPr>
            <sz val="11"/>
            <color theme="1"/>
            <rFont val="Calibri"/>
            <family val="2"/>
            <scheme val="minor"/>
          </rPr>
          <t>Introduzca un codigo UNSPSC</t>
        </r>
      </text>
    </comment>
    <comment ref="B379" authorId="1">
      <text>
        <r>
          <rPr>
            <sz val="11"/>
            <color theme="1"/>
            <rFont val="Calibri"/>
            <family val="2"/>
            <scheme val="minor"/>
          </rPr>
          <t>Descripción calculada automáticamente a partir de código del artículo</t>
        </r>
      </text>
    </comment>
    <comment ref="C379" authorId="1">
      <text>
        <r>
          <rPr>
            <sz val="11"/>
            <color theme="1"/>
            <rFont val="Calibri"/>
            <family val="2"/>
            <scheme val="minor"/>
          </rPr>
          <t>Seleccione un valor de la lista</t>
        </r>
      </text>
    </comment>
    <comment ref="D379" authorId="1">
      <text>
        <r>
          <rPr>
            <sz val="11"/>
            <color theme="1"/>
            <rFont val="Calibri"/>
            <family val="2"/>
            <scheme val="minor"/>
          </rPr>
          <t>Introduzca un número con dos decimales como máximo. Debe ser igual o mayor a la "Cantidad Real Consumida"</t>
        </r>
      </text>
    </comment>
    <comment ref="E379" authorId="1">
      <text>
        <r>
          <rPr>
            <sz val="11"/>
            <color theme="1"/>
            <rFont val="Calibri"/>
            <family val="2"/>
            <scheme val="minor"/>
          </rPr>
          <t>Introduzca un número con dos decimales como máximo</t>
        </r>
      </text>
    </comment>
    <comment ref="F379" authorId="1">
      <text>
        <r>
          <rPr>
            <sz val="11"/>
            <color theme="1"/>
            <rFont val="Calibri"/>
            <family val="2"/>
            <scheme val="minor"/>
          </rPr>
          <t>Monto calculado automáticamente por el sistema</t>
        </r>
      </text>
    </comment>
    <comment ref="A386" authorId="1">
      <text>
        <r>
          <rPr>
            <sz val="11"/>
            <color theme="1"/>
            <rFont val="Calibri"/>
            <family val="2"/>
            <scheme val="minor"/>
          </rPr>
          <t>Introducir un texto con el nombre o referencia de la contratación</t>
        </r>
      </text>
    </comment>
    <comment ref="B386" authorId="1">
      <text>
        <r>
          <rPr>
            <sz val="11"/>
            <color theme="1"/>
            <rFont val="Calibri"/>
            <family val="2"/>
            <scheme val="minor"/>
          </rPr>
          <t>Introduzca un texto con la finalidad de la contratación</t>
        </r>
      </text>
    </comment>
    <comment ref="C386" authorId="1">
      <text>
        <r>
          <rPr>
            <sz val="11"/>
            <color theme="1"/>
            <rFont val="Calibri"/>
            <family val="2"/>
            <scheme val="minor"/>
          </rPr>
          <t>Seleccionar un valor del listado</t>
        </r>
      </text>
    </comment>
    <comment ref="D386" authorId="1">
      <text>
        <r>
          <rPr>
            <sz val="11"/>
            <color theme="1"/>
            <rFont val="Calibri"/>
            <family val="2"/>
            <scheme val="minor"/>
          </rPr>
          <t>Seleccione el tipo de procedimiento</t>
        </r>
      </text>
    </comment>
    <comment ref="E386" authorId="1">
      <text>
        <r>
          <rPr>
            <sz val="11"/>
            <color theme="1"/>
            <rFont val="Calibri"/>
            <family val="2"/>
            <scheme val="minor"/>
          </rPr>
          <t>Seleccione un valor de la lista</t>
        </r>
      </text>
    </comment>
    <comment ref="F386" authorId="1">
      <text>
        <r>
          <rPr>
            <sz val="11"/>
            <color theme="1"/>
            <rFont val="Calibri"/>
            <family val="2"/>
            <scheme val="minor"/>
          </rPr>
          <t>Introduzca el código SNIP</t>
        </r>
      </text>
    </comment>
    <comment ref="C387" authorId="1">
      <text>
        <r>
          <rPr>
            <sz val="11"/>
            <color theme="1"/>
            <rFont val="Calibri"/>
            <family val="2"/>
            <scheme val="minor"/>
          </rPr>
          <t>Introduzca la fecha de inicio del proceso, en formato dd-mm-aaaa</t>
        </r>
      </text>
    </comment>
    <comment ref="F387" authorId="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88" authorId="1">
      <text/>
    </comment>
    <comment ref="C389" authorId="1">
      <text>
        <r>
          <rPr>
            <sz val="11"/>
            <color theme="1"/>
            <rFont val="Calibri"/>
            <family val="2"/>
            <scheme val="minor"/>
          </rPr>
          <t>Introduzca la fecha prevista de adjudicación, en formato dd-mm-aaaa</t>
        </r>
      </text>
    </comment>
    <comment ref="F389" authorId="1">
      <text/>
    </comment>
    <comment ref="F390" authorId="1">
      <text/>
    </comment>
    <comment ref="A392" authorId="1">
      <text>
        <r>
          <rPr>
            <sz val="11"/>
            <color theme="1"/>
            <rFont val="Calibri"/>
            <family val="2"/>
            <scheme val="minor"/>
          </rPr>
          <t>Introduzca un codigo UNSPSC</t>
        </r>
      </text>
    </comment>
    <comment ref="B392" authorId="1">
      <text>
        <r>
          <rPr>
            <sz val="11"/>
            <color theme="1"/>
            <rFont val="Calibri"/>
            <family val="2"/>
            <scheme val="minor"/>
          </rPr>
          <t>Descripción calculada automáticamente a partir de código del artículo</t>
        </r>
      </text>
    </comment>
    <comment ref="C392" authorId="1">
      <text>
        <r>
          <rPr>
            <sz val="11"/>
            <color theme="1"/>
            <rFont val="Calibri"/>
            <family val="2"/>
            <scheme val="minor"/>
          </rPr>
          <t>Seleccione un valor de la lista</t>
        </r>
      </text>
    </comment>
    <comment ref="D392" authorId="1">
      <text>
        <r>
          <rPr>
            <sz val="11"/>
            <color theme="1"/>
            <rFont val="Calibri"/>
            <family val="2"/>
            <scheme val="minor"/>
          </rPr>
          <t>Introduzca un número con dos decimales como máximo. Debe ser igual o mayor a la "Cantidad Real Consumida"</t>
        </r>
      </text>
    </comment>
    <comment ref="E392" authorId="1">
      <text>
        <r>
          <rPr>
            <sz val="11"/>
            <color theme="1"/>
            <rFont val="Calibri"/>
            <family val="2"/>
            <scheme val="minor"/>
          </rPr>
          <t>Introduzca un número con dos decimales como máximo</t>
        </r>
      </text>
    </comment>
    <comment ref="F392" authorId="1">
      <text>
        <r>
          <rPr>
            <sz val="11"/>
            <color theme="1"/>
            <rFont val="Calibri"/>
            <family val="2"/>
            <scheme val="minor"/>
          </rPr>
          <t>Monto calculado automáticamente por el sistema</t>
        </r>
      </text>
    </comment>
    <comment ref="A399" authorId="1">
      <text>
        <r>
          <rPr>
            <sz val="11"/>
            <color theme="1"/>
            <rFont val="Calibri"/>
            <family val="2"/>
            <scheme val="minor"/>
          </rPr>
          <t>Introducir un texto con el nombre o referencia de la contratación</t>
        </r>
      </text>
    </comment>
    <comment ref="B399" authorId="1">
      <text>
        <r>
          <rPr>
            <sz val="11"/>
            <color theme="1"/>
            <rFont val="Calibri"/>
            <family val="2"/>
            <scheme val="minor"/>
          </rPr>
          <t>Introduzca un texto con la finalidad de la contratación</t>
        </r>
      </text>
    </comment>
    <comment ref="C399" authorId="1">
      <text>
        <r>
          <rPr>
            <sz val="11"/>
            <color theme="1"/>
            <rFont val="Calibri"/>
            <family val="2"/>
            <scheme val="minor"/>
          </rPr>
          <t>Seleccionar un valor del listado</t>
        </r>
      </text>
    </comment>
    <comment ref="D399" authorId="1">
      <text>
        <r>
          <rPr>
            <sz val="11"/>
            <color theme="1"/>
            <rFont val="Calibri"/>
            <family val="2"/>
            <scheme val="minor"/>
          </rPr>
          <t>Seleccione el tipo de procedimiento</t>
        </r>
      </text>
    </comment>
    <comment ref="E399" authorId="1">
      <text>
        <r>
          <rPr>
            <sz val="11"/>
            <color theme="1"/>
            <rFont val="Calibri"/>
            <family val="2"/>
            <scheme val="minor"/>
          </rPr>
          <t>Seleccione un valor de la lista</t>
        </r>
      </text>
    </comment>
    <comment ref="F399" authorId="1">
      <text>
        <r>
          <rPr>
            <sz val="11"/>
            <color theme="1"/>
            <rFont val="Calibri"/>
            <family val="2"/>
            <scheme val="minor"/>
          </rPr>
          <t>Introduzca el código SNIP</t>
        </r>
      </text>
    </comment>
    <comment ref="C400" authorId="1">
      <text>
        <r>
          <rPr>
            <sz val="11"/>
            <color theme="1"/>
            <rFont val="Calibri"/>
            <family val="2"/>
            <scheme val="minor"/>
          </rPr>
          <t>Introduzca la fecha de inicio del proceso, en formato dd-mm-aaaa</t>
        </r>
      </text>
    </comment>
    <comment ref="F400" authorId="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01" authorId="1">
      <text/>
    </comment>
    <comment ref="C402" authorId="1">
      <text>
        <r>
          <rPr>
            <sz val="11"/>
            <color theme="1"/>
            <rFont val="Calibri"/>
            <family val="2"/>
            <scheme val="minor"/>
          </rPr>
          <t>Introduzca la fecha prevista de adjudicación, en formato dd-mm-aaaa</t>
        </r>
      </text>
    </comment>
    <comment ref="F402" authorId="1">
      <text/>
    </comment>
    <comment ref="F403" authorId="1">
      <text/>
    </comment>
    <comment ref="A405" authorId="1">
      <text>
        <r>
          <rPr>
            <sz val="11"/>
            <color theme="1"/>
            <rFont val="Calibri"/>
            <family val="2"/>
            <scheme val="minor"/>
          </rPr>
          <t>Introduzca un codigo UNSPSC</t>
        </r>
      </text>
    </comment>
    <comment ref="B405" authorId="1">
      <text>
        <r>
          <rPr>
            <sz val="11"/>
            <color theme="1"/>
            <rFont val="Calibri"/>
            <family val="2"/>
            <scheme val="minor"/>
          </rPr>
          <t>Descripción calculada automáticamente a partir de código del artículo</t>
        </r>
      </text>
    </comment>
    <comment ref="C405" authorId="1">
      <text>
        <r>
          <rPr>
            <sz val="11"/>
            <color theme="1"/>
            <rFont val="Calibri"/>
            <family val="2"/>
            <scheme val="minor"/>
          </rPr>
          <t>Seleccione un valor de la lista</t>
        </r>
      </text>
    </comment>
    <comment ref="D405" authorId="1">
      <text>
        <r>
          <rPr>
            <sz val="11"/>
            <color theme="1"/>
            <rFont val="Calibri"/>
            <family val="2"/>
            <scheme val="minor"/>
          </rPr>
          <t>Introduzca un número con dos decimales como máximo. Debe ser igual o mayor a la "Cantidad Real Consumida"</t>
        </r>
      </text>
    </comment>
    <comment ref="E405" authorId="1">
      <text>
        <r>
          <rPr>
            <sz val="11"/>
            <color theme="1"/>
            <rFont val="Calibri"/>
            <family val="2"/>
            <scheme val="minor"/>
          </rPr>
          <t>Introduzca un número con dos decimales como máximo</t>
        </r>
      </text>
    </comment>
    <comment ref="F405" authorId="1">
      <text>
        <r>
          <rPr>
            <sz val="11"/>
            <color theme="1"/>
            <rFont val="Calibri"/>
            <family val="2"/>
            <scheme val="minor"/>
          </rPr>
          <t>Monto calculado automáticamente por el sistema</t>
        </r>
      </text>
    </comment>
    <comment ref="A414" authorId="1">
      <text>
        <r>
          <rPr>
            <sz val="11"/>
            <color theme="1"/>
            <rFont val="Calibri"/>
            <family val="2"/>
            <scheme val="minor"/>
          </rPr>
          <t>Introducir un texto con el nombre o referencia de la contratación</t>
        </r>
      </text>
    </comment>
    <comment ref="B414" authorId="1">
      <text>
        <r>
          <rPr>
            <sz val="11"/>
            <color theme="1"/>
            <rFont val="Calibri"/>
            <family val="2"/>
            <scheme val="minor"/>
          </rPr>
          <t>Introduzca un texto con la finalidad de la contratación</t>
        </r>
      </text>
    </comment>
    <comment ref="C414" authorId="1">
      <text>
        <r>
          <rPr>
            <sz val="11"/>
            <color theme="1"/>
            <rFont val="Calibri"/>
            <family val="2"/>
            <scheme val="minor"/>
          </rPr>
          <t>Seleccionar un valor del listado</t>
        </r>
      </text>
    </comment>
    <comment ref="D414" authorId="1">
      <text>
        <r>
          <rPr>
            <sz val="11"/>
            <color theme="1"/>
            <rFont val="Calibri"/>
            <family val="2"/>
            <scheme val="minor"/>
          </rPr>
          <t>Seleccione el tipo de procedimiento</t>
        </r>
      </text>
    </comment>
    <comment ref="E414" authorId="1">
      <text>
        <r>
          <rPr>
            <sz val="11"/>
            <color theme="1"/>
            <rFont val="Calibri"/>
            <family val="2"/>
            <scheme val="minor"/>
          </rPr>
          <t>Seleccione un valor de la lista</t>
        </r>
      </text>
    </comment>
    <comment ref="F414" authorId="1">
      <text>
        <r>
          <rPr>
            <sz val="11"/>
            <color theme="1"/>
            <rFont val="Calibri"/>
            <family val="2"/>
            <scheme val="minor"/>
          </rPr>
          <t>Introduzca el código SNIP</t>
        </r>
      </text>
    </comment>
    <comment ref="C415" authorId="1">
      <text>
        <r>
          <rPr>
            <sz val="11"/>
            <color theme="1"/>
            <rFont val="Calibri"/>
            <family val="2"/>
            <scheme val="minor"/>
          </rPr>
          <t>Introduzca la fecha de inicio del proceso, en formato dd-mm-aaaa</t>
        </r>
      </text>
    </comment>
    <comment ref="F415" authorId="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16" authorId="1">
      <text/>
    </comment>
    <comment ref="C417" authorId="1">
      <text>
        <r>
          <rPr>
            <sz val="11"/>
            <color theme="1"/>
            <rFont val="Calibri"/>
            <family val="2"/>
            <scheme val="minor"/>
          </rPr>
          <t>Introduzca la fecha prevista de adjudicación, en formato dd-mm-aaaa</t>
        </r>
      </text>
    </comment>
    <comment ref="F417" authorId="1">
      <text/>
    </comment>
    <comment ref="F418" authorId="1">
      <text/>
    </comment>
    <comment ref="A420" authorId="1">
      <text>
        <r>
          <rPr>
            <sz val="11"/>
            <color theme="1"/>
            <rFont val="Calibri"/>
            <family val="2"/>
            <scheme val="minor"/>
          </rPr>
          <t>Introduzca un codigo UNSPSC</t>
        </r>
      </text>
    </comment>
    <comment ref="B420" authorId="1">
      <text>
        <r>
          <rPr>
            <sz val="11"/>
            <color theme="1"/>
            <rFont val="Calibri"/>
            <family val="2"/>
            <scheme val="minor"/>
          </rPr>
          <t>Descripción calculada automáticamente a partir de código del artículo</t>
        </r>
      </text>
    </comment>
    <comment ref="C420" authorId="1">
      <text>
        <r>
          <rPr>
            <sz val="11"/>
            <color theme="1"/>
            <rFont val="Calibri"/>
            <family val="2"/>
            <scheme val="minor"/>
          </rPr>
          <t>Seleccione un valor de la lista</t>
        </r>
      </text>
    </comment>
    <comment ref="D420" authorId="1">
      <text>
        <r>
          <rPr>
            <sz val="11"/>
            <color theme="1"/>
            <rFont val="Calibri"/>
            <family val="2"/>
            <scheme val="minor"/>
          </rPr>
          <t>Introduzca un número con dos decimales como máximo. Debe ser igual o mayor a la "Cantidad Real Consumida"</t>
        </r>
      </text>
    </comment>
    <comment ref="E420" authorId="1">
      <text>
        <r>
          <rPr>
            <sz val="11"/>
            <color theme="1"/>
            <rFont val="Calibri"/>
            <family val="2"/>
            <scheme val="minor"/>
          </rPr>
          <t>Introduzca un número con dos decimales como máximo</t>
        </r>
      </text>
    </comment>
    <comment ref="F420" authorId="1">
      <text>
        <r>
          <rPr>
            <sz val="11"/>
            <color theme="1"/>
            <rFont val="Calibri"/>
            <family val="2"/>
            <scheme val="minor"/>
          </rPr>
          <t>Monto calculado automáticamente por el sistema</t>
        </r>
      </text>
    </comment>
    <comment ref="A429" authorId="1">
      <text>
        <r>
          <rPr>
            <sz val="11"/>
            <color theme="1"/>
            <rFont val="Calibri"/>
            <family val="2"/>
            <scheme val="minor"/>
          </rPr>
          <t>Introducir un texto con el nombre o referencia de la contratación</t>
        </r>
      </text>
    </comment>
    <comment ref="B429" authorId="1">
      <text>
        <r>
          <rPr>
            <sz val="11"/>
            <color theme="1"/>
            <rFont val="Calibri"/>
            <family val="2"/>
            <scheme val="minor"/>
          </rPr>
          <t>Introduzca un texto con la finalidad de la contratación</t>
        </r>
      </text>
    </comment>
    <comment ref="C429" authorId="1">
      <text>
        <r>
          <rPr>
            <sz val="11"/>
            <color theme="1"/>
            <rFont val="Calibri"/>
            <family val="2"/>
            <scheme val="minor"/>
          </rPr>
          <t>Seleccionar un valor del listado</t>
        </r>
      </text>
    </comment>
    <comment ref="D429" authorId="1">
      <text>
        <r>
          <rPr>
            <sz val="11"/>
            <color theme="1"/>
            <rFont val="Calibri"/>
            <family val="2"/>
            <scheme val="minor"/>
          </rPr>
          <t>Seleccione el tipo de procedimiento</t>
        </r>
      </text>
    </comment>
    <comment ref="E429" authorId="1">
      <text>
        <r>
          <rPr>
            <sz val="11"/>
            <color theme="1"/>
            <rFont val="Calibri"/>
            <family val="2"/>
            <scheme val="minor"/>
          </rPr>
          <t>Seleccione un valor de la lista</t>
        </r>
      </text>
    </comment>
    <comment ref="F429" authorId="1">
      <text>
        <r>
          <rPr>
            <sz val="11"/>
            <color theme="1"/>
            <rFont val="Calibri"/>
            <family val="2"/>
            <scheme val="minor"/>
          </rPr>
          <t>Introduzca el código SNIP</t>
        </r>
      </text>
    </comment>
    <comment ref="C430" authorId="1">
      <text>
        <r>
          <rPr>
            <sz val="11"/>
            <color theme="1"/>
            <rFont val="Calibri"/>
            <family val="2"/>
            <scheme val="minor"/>
          </rPr>
          <t>Introduzca la fecha de inicio del proceso, en formato dd-mm-aaaa</t>
        </r>
      </text>
    </comment>
    <comment ref="F430" authorId="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31" authorId="1">
      <text/>
    </comment>
    <comment ref="C432" authorId="1">
      <text>
        <r>
          <rPr>
            <sz val="11"/>
            <color theme="1"/>
            <rFont val="Calibri"/>
            <family val="2"/>
            <scheme val="minor"/>
          </rPr>
          <t>Introduzca la fecha prevista de adjudicación, en formato dd-mm-aaaa</t>
        </r>
      </text>
    </comment>
    <comment ref="F432" authorId="1">
      <text/>
    </comment>
    <comment ref="F433" authorId="1">
      <text/>
    </comment>
    <comment ref="A435" authorId="1">
      <text>
        <r>
          <rPr>
            <sz val="11"/>
            <color theme="1"/>
            <rFont val="Calibri"/>
            <family val="2"/>
            <scheme val="minor"/>
          </rPr>
          <t>Introduzca un codigo UNSPSC</t>
        </r>
      </text>
    </comment>
    <comment ref="B435" authorId="1">
      <text>
        <r>
          <rPr>
            <sz val="11"/>
            <color theme="1"/>
            <rFont val="Calibri"/>
            <family val="2"/>
            <scheme val="minor"/>
          </rPr>
          <t>Descripción calculada automáticamente a partir de código del artículo</t>
        </r>
      </text>
    </comment>
    <comment ref="C435" authorId="1">
      <text>
        <r>
          <rPr>
            <sz val="11"/>
            <color theme="1"/>
            <rFont val="Calibri"/>
            <family val="2"/>
            <scheme val="minor"/>
          </rPr>
          <t>Seleccione un valor de la lista</t>
        </r>
      </text>
    </comment>
    <comment ref="D435" authorId="1">
      <text>
        <r>
          <rPr>
            <sz val="11"/>
            <color theme="1"/>
            <rFont val="Calibri"/>
            <family val="2"/>
            <scheme val="minor"/>
          </rPr>
          <t>Introduzca un número con dos decimales como máximo. Debe ser igual o mayor a la "Cantidad Real Consumida"</t>
        </r>
      </text>
    </comment>
    <comment ref="E435" authorId="1">
      <text>
        <r>
          <rPr>
            <sz val="11"/>
            <color theme="1"/>
            <rFont val="Calibri"/>
            <family val="2"/>
            <scheme val="minor"/>
          </rPr>
          <t>Introduzca un número con dos decimales como máximo</t>
        </r>
      </text>
    </comment>
    <comment ref="F435" authorId="1">
      <text>
        <r>
          <rPr>
            <sz val="11"/>
            <color theme="1"/>
            <rFont val="Calibri"/>
            <family val="2"/>
            <scheme val="minor"/>
          </rPr>
          <t>Monto calculado automáticamente por el sistema</t>
        </r>
      </text>
    </comment>
    <comment ref="A465" authorId="1">
      <text>
        <r>
          <rPr>
            <sz val="11"/>
            <color theme="1"/>
            <rFont val="Calibri"/>
            <family val="2"/>
            <scheme val="minor"/>
          </rPr>
          <t>Introducir un texto con el nombre o referencia de la contratación</t>
        </r>
      </text>
    </comment>
    <comment ref="B465" authorId="1">
      <text>
        <r>
          <rPr>
            <sz val="11"/>
            <color theme="1"/>
            <rFont val="Calibri"/>
            <family val="2"/>
            <scheme val="minor"/>
          </rPr>
          <t>Introduzca un texto con la finalidad de la contratación</t>
        </r>
      </text>
    </comment>
    <comment ref="C465" authorId="1">
      <text>
        <r>
          <rPr>
            <sz val="11"/>
            <color theme="1"/>
            <rFont val="Calibri"/>
            <family val="2"/>
            <scheme val="minor"/>
          </rPr>
          <t>Seleccionar un valor del listado</t>
        </r>
      </text>
    </comment>
    <comment ref="D465" authorId="1">
      <text>
        <r>
          <rPr>
            <sz val="11"/>
            <color theme="1"/>
            <rFont val="Calibri"/>
            <family val="2"/>
            <scheme val="minor"/>
          </rPr>
          <t>Seleccione el tipo de procedimiento</t>
        </r>
      </text>
    </comment>
    <comment ref="E465" authorId="1">
      <text>
        <r>
          <rPr>
            <sz val="11"/>
            <color theme="1"/>
            <rFont val="Calibri"/>
            <family val="2"/>
            <scheme val="minor"/>
          </rPr>
          <t>Seleccione un valor de la lista</t>
        </r>
      </text>
    </comment>
    <comment ref="F465" authorId="1">
      <text>
        <r>
          <rPr>
            <sz val="11"/>
            <color theme="1"/>
            <rFont val="Calibri"/>
            <family val="2"/>
            <scheme val="minor"/>
          </rPr>
          <t>Introduzca el código SNIP</t>
        </r>
      </text>
    </comment>
    <comment ref="C466" authorId="1">
      <text>
        <r>
          <rPr>
            <sz val="11"/>
            <color theme="1"/>
            <rFont val="Calibri"/>
            <family val="2"/>
            <scheme val="minor"/>
          </rPr>
          <t>Introduzca la fecha de inicio del proceso, en formato dd-mm-aaaa</t>
        </r>
      </text>
    </comment>
    <comment ref="F466" authorId="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67" authorId="1">
      <text/>
    </comment>
    <comment ref="C468" authorId="1">
      <text>
        <r>
          <rPr>
            <sz val="11"/>
            <color theme="1"/>
            <rFont val="Calibri"/>
            <family val="2"/>
            <scheme val="minor"/>
          </rPr>
          <t>Introduzca la fecha prevista de adjudicación, en formato dd-mm-aaaa</t>
        </r>
      </text>
    </comment>
    <comment ref="F468" authorId="1">
      <text/>
    </comment>
    <comment ref="F469" authorId="1">
      <text/>
    </comment>
    <comment ref="A471" authorId="1">
      <text>
        <r>
          <rPr>
            <sz val="11"/>
            <color theme="1"/>
            <rFont val="Calibri"/>
            <family val="2"/>
            <scheme val="minor"/>
          </rPr>
          <t>Introduzca un codigo UNSPSC</t>
        </r>
      </text>
    </comment>
    <comment ref="B471" authorId="1">
      <text>
        <r>
          <rPr>
            <sz val="11"/>
            <color theme="1"/>
            <rFont val="Calibri"/>
            <family val="2"/>
            <scheme val="minor"/>
          </rPr>
          <t>Descripción calculada automáticamente a partir de código del artículo</t>
        </r>
      </text>
    </comment>
    <comment ref="C471" authorId="1">
      <text>
        <r>
          <rPr>
            <sz val="11"/>
            <color theme="1"/>
            <rFont val="Calibri"/>
            <family val="2"/>
            <scheme val="minor"/>
          </rPr>
          <t>Seleccione un valor de la lista</t>
        </r>
      </text>
    </comment>
    <comment ref="D471" authorId="1">
      <text>
        <r>
          <rPr>
            <sz val="11"/>
            <color theme="1"/>
            <rFont val="Calibri"/>
            <family val="2"/>
            <scheme val="minor"/>
          </rPr>
          <t>Introduzca un número con dos decimales como máximo. Debe ser igual o mayor a la "Cantidad Real Consumida"</t>
        </r>
      </text>
    </comment>
    <comment ref="E471" authorId="1">
      <text>
        <r>
          <rPr>
            <sz val="11"/>
            <color theme="1"/>
            <rFont val="Calibri"/>
            <family val="2"/>
            <scheme val="minor"/>
          </rPr>
          <t>Introduzca un número con dos decimales como máximo</t>
        </r>
      </text>
    </comment>
    <comment ref="F471" authorId="1">
      <text>
        <r>
          <rPr>
            <sz val="11"/>
            <color theme="1"/>
            <rFont val="Calibri"/>
            <family val="2"/>
            <scheme val="minor"/>
          </rPr>
          <t>Monto calculado automáticamente por el sistema</t>
        </r>
      </text>
    </comment>
    <comment ref="A477" authorId="1">
      <text>
        <r>
          <rPr>
            <sz val="11"/>
            <color theme="1"/>
            <rFont val="Calibri"/>
            <family val="2"/>
            <scheme val="minor"/>
          </rPr>
          <t>Introducir un texto con el nombre o referencia de la contratación</t>
        </r>
      </text>
    </comment>
    <comment ref="B477" authorId="1">
      <text>
        <r>
          <rPr>
            <sz val="11"/>
            <color theme="1"/>
            <rFont val="Calibri"/>
            <family val="2"/>
            <scheme val="minor"/>
          </rPr>
          <t>Introduzca un texto con la finalidad de la contratación</t>
        </r>
      </text>
    </comment>
    <comment ref="C477" authorId="1">
      <text>
        <r>
          <rPr>
            <sz val="11"/>
            <color theme="1"/>
            <rFont val="Calibri"/>
            <family val="2"/>
            <scheme val="minor"/>
          </rPr>
          <t>Seleccionar un valor del listado</t>
        </r>
      </text>
    </comment>
    <comment ref="D477" authorId="1">
      <text>
        <r>
          <rPr>
            <sz val="11"/>
            <color theme="1"/>
            <rFont val="Calibri"/>
            <family val="2"/>
            <scheme val="minor"/>
          </rPr>
          <t>Seleccione el tipo de procedimiento</t>
        </r>
      </text>
    </comment>
    <comment ref="E477" authorId="1">
      <text>
        <r>
          <rPr>
            <sz val="11"/>
            <color theme="1"/>
            <rFont val="Calibri"/>
            <family val="2"/>
            <scheme val="minor"/>
          </rPr>
          <t>Seleccione un valor de la lista</t>
        </r>
      </text>
    </comment>
    <comment ref="F477" authorId="1">
      <text>
        <r>
          <rPr>
            <sz val="11"/>
            <color theme="1"/>
            <rFont val="Calibri"/>
            <family val="2"/>
            <scheme val="minor"/>
          </rPr>
          <t>Introduzca el código SNIP</t>
        </r>
      </text>
    </comment>
    <comment ref="C478" authorId="1">
      <text>
        <r>
          <rPr>
            <sz val="11"/>
            <color theme="1"/>
            <rFont val="Calibri"/>
            <family val="2"/>
            <scheme val="minor"/>
          </rPr>
          <t>Introduzca la fecha de inicio del proceso, en formato dd-mm-aaaa</t>
        </r>
      </text>
    </comment>
    <comment ref="F478" authorId="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79" authorId="1">
      <text/>
    </comment>
    <comment ref="C480" authorId="1">
      <text>
        <r>
          <rPr>
            <sz val="11"/>
            <color theme="1"/>
            <rFont val="Calibri"/>
            <family val="2"/>
            <scheme val="minor"/>
          </rPr>
          <t>Introduzca la fecha prevista de adjudicación, en formato dd-mm-aaaa</t>
        </r>
      </text>
    </comment>
    <comment ref="F480" authorId="1">
      <text/>
    </comment>
    <comment ref="F481" authorId="1">
      <text/>
    </comment>
    <comment ref="A483" authorId="1">
      <text>
        <r>
          <rPr>
            <sz val="11"/>
            <color theme="1"/>
            <rFont val="Calibri"/>
            <family val="2"/>
            <scheme val="minor"/>
          </rPr>
          <t>Introduzca un codigo UNSPSC</t>
        </r>
      </text>
    </comment>
    <comment ref="B483" authorId="1">
      <text>
        <r>
          <rPr>
            <sz val="11"/>
            <color theme="1"/>
            <rFont val="Calibri"/>
            <family val="2"/>
            <scheme val="minor"/>
          </rPr>
          <t>Descripción calculada automáticamente a partir de código del artículo</t>
        </r>
      </text>
    </comment>
    <comment ref="C483" authorId="1">
      <text>
        <r>
          <rPr>
            <sz val="11"/>
            <color theme="1"/>
            <rFont val="Calibri"/>
            <family val="2"/>
            <scheme val="minor"/>
          </rPr>
          <t>Seleccione un valor de la lista</t>
        </r>
      </text>
    </comment>
    <comment ref="D483" authorId="1">
      <text>
        <r>
          <rPr>
            <sz val="11"/>
            <color theme="1"/>
            <rFont val="Calibri"/>
            <family val="2"/>
            <scheme val="minor"/>
          </rPr>
          <t>Introduzca un número con dos decimales como máximo. Debe ser igual o mayor a la "Cantidad Real Consumida"</t>
        </r>
      </text>
    </comment>
    <comment ref="E483" authorId="1">
      <text>
        <r>
          <rPr>
            <sz val="11"/>
            <color theme="1"/>
            <rFont val="Calibri"/>
            <family val="2"/>
            <scheme val="minor"/>
          </rPr>
          <t>Introduzca un número con dos decimales como máximo</t>
        </r>
      </text>
    </comment>
    <comment ref="F483" authorId="1">
      <text>
        <r>
          <rPr>
            <sz val="11"/>
            <color theme="1"/>
            <rFont val="Calibri"/>
            <family val="2"/>
            <scheme val="minor"/>
          </rPr>
          <t>Monto calculado automáticamente por el sistema</t>
        </r>
      </text>
    </comment>
    <comment ref="A489" authorId="1">
      <text>
        <r>
          <rPr>
            <sz val="11"/>
            <color theme="1"/>
            <rFont val="Calibri"/>
            <family val="2"/>
            <scheme val="minor"/>
          </rPr>
          <t>Introducir un texto con el nombre o referencia de la contratación</t>
        </r>
      </text>
    </comment>
    <comment ref="B489" authorId="1">
      <text>
        <r>
          <rPr>
            <sz val="11"/>
            <color theme="1"/>
            <rFont val="Calibri"/>
            <family val="2"/>
            <scheme val="minor"/>
          </rPr>
          <t>Introduzca un texto con la finalidad de la contratación</t>
        </r>
      </text>
    </comment>
    <comment ref="C489" authorId="1">
      <text>
        <r>
          <rPr>
            <sz val="11"/>
            <color theme="1"/>
            <rFont val="Calibri"/>
            <family val="2"/>
            <scheme val="minor"/>
          </rPr>
          <t>Seleccionar un valor del listado</t>
        </r>
      </text>
    </comment>
    <comment ref="D489" authorId="1">
      <text>
        <r>
          <rPr>
            <sz val="11"/>
            <color theme="1"/>
            <rFont val="Calibri"/>
            <family val="2"/>
            <scheme val="minor"/>
          </rPr>
          <t>Seleccione el tipo de procedimiento</t>
        </r>
      </text>
    </comment>
    <comment ref="E489" authorId="1">
      <text>
        <r>
          <rPr>
            <sz val="11"/>
            <color theme="1"/>
            <rFont val="Calibri"/>
            <family val="2"/>
            <scheme val="minor"/>
          </rPr>
          <t>Seleccione un valor de la lista</t>
        </r>
      </text>
    </comment>
    <comment ref="F489" authorId="1">
      <text>
        <r>
          <rPr>
            <sz val="11"/>
            <color theme="1"/>
            <rFont val="Calibri"/>
            <family val="2"/>
            <scheme val="minor"/>
          </rPr>
          <t>Introduzca el código SNIP</t>
        </r>
      </text>
    </comment>
    <comment ref="C490" authorId="1">
      <text>
        <r>
          <rPr>
            <sz val="11"/>
            <color theme="1"/>
            <rFont val="Calibri"/>
            <family val="2"/>
            <scheme val="minor"/>
          </rPr>
          <t>Introduzca la fecha de inicio del proceso, en formato dd-mm-aaaa</t>
        </r>
      </text>
    </comment>
    <comment ref="F490" authorId="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91" authorId="1">
      <text/>
    </comment>
    <comment ref="C492" authorId="1">
      <text>
        <r>
          <rPr>
            <sz val="11"/>
            <color theme="1"/>
            <rFont val="Calibri"/>
            <family val="2"/>
            <scheme val="minor"/>
          </rPr>
          <t>Introduzca la fecha prevista de adjudicación, en formato dd-mm-aaaa</t>
        </r>
      </text>
    </comment>
    <comment ref="F492" authorId="1">
      <text/>
    </comment>
    <comment ref="F493" authorId="1">
      <text/>
    </comment>
    <comment ref="A495" authorId="1">
      <text>
        <r>
          <rPr>
            <sz val="11"/>
            <color theme="1"/>
            <rFont val="Calibri"/>
            <family val="2"/>
            <scheme val="minor"/>
          </rPr>
          <t>Introduzca un codigo UNSPSC</t>
        </r>
      </text>
    </comment>
    <comment ref="B495" authorId="1">
      <text>
        <r>
          <rPr>
            <sz val="11"/>
            <color theme="1"/>
            <rFont val="Calibri"/>
            <family val="2"/>
            <scheme val="minor"/>
          </rPr>
          <t>Descripción calculada automáticamente a partir de código del artículo</t>
        </r>
      </text>
    </comment>
    <comment ref="C495" authorId="1">
      <text>
        <r>
          <rPr>
            <sz val="11"/>
            <color theme="1"/>
            <rFont val="Calibri"/>
            <family val="2"/>
            <scheme val="minor"/>
          </rPr>
          <t>Seleccione un valor de la lista</t>
        </r>
      </text>
    </comment>
    <comment ref="D495" authorId="1">
      <text>
        <r>
          <rPr>
            <sz val="11"/>
            <color theme="1"/>
            <rFont val="Calibri"/>
            <family val="2"/>
            <scheme val="minor"/>
          </rPr>
          <t>Introduzca un número con dos decimales como máximo. Debe ser igual o mayor a la "Cantidad Real Consumida"</t>
        </r>
      </text>
    </comment>
    <comment ref="E495" authorId="1">
      <text>
        <r>
          <rPr>
            <sz val="11"/>
            <color theme="1"/>
            <rFont val="Calibri"/>
            <family val="2"/>
            <scheme val="minor"/>
          </rPr>
          <t>Introduzca un número con dos decimales como máximo</t>
        </r>
      </text>
    </comment>
    <comment ref="F495" authorId="1">
      <text>
        <r>
          <rPr>
            <sz val="11"/>
            <color theme="1"/>
            <rFont val="Calibri"/>
            <family val="2"/>
            <scheme val="minor"/>
          </rPr>
          <t>Monto calculado automáticamente por el sistema</t>
        </r>
      </text>
    </comment>
    <comment ref="A502" authorId="1">
      <text>
        <r>
          <rPr>
            <sz val="11"/>
            <color theme="1"/>
            <rFont val="Calibri"/>
            <family val="2"/>
            <scheme val="minor"/>
          </rPr>
          <t>Introducir un texto con el nombre o referencia de la contratación</t>
        </r>
      </text>
    </comment>
    <comment ref="B502" authorId="1">
      <text>
        <r>
          <rPr>
            <sz val="11"/>
            <color theme="1"/>
            <rFont val="Calibri"/>
            <family val="2"/>
            <scheme val="minor"/>
          </rPr>
          <t>Introduzca un texto con la finalidad de la contratación</t>
        </r>
      </text>
    </comment>
    <comment ref="C502" authorId="1">
      <text>
        <r>
          <rPr>
            <sz val="11"/>
            <color theme="1"/>
            <rFont val="Calibri"/>
            <family val="2"/>
            <scheme val="minor"/>
          </rPr>
          <t>Seleccionar un valor del listado</t>
        </r>
      </text>
    </comment>
    <comment ref="D502" authorId="1">
      <text>
        <r>
          <rPr>
            <sz val="11"/>
            <color theme="1"/>
            <rFont val="Calibri"/>
            <family val="2"/>
            <scheme val="minor"/>
          </rPr>
          <t>Seleccione el tipo de procedimiento</t>
        </r>
      </text>
    </comment>
    <comment ref="E502" authorId="1">
      <text>
        <r>
          <rPr>
            <sz val="11"/>
            <color theme="1"/>
            <rFont val="Calibri"/>
            <family val="2"/>
            <scheme val="minor"/>
          </rPr>
          <t>Seleccione un valor de la lista</t>
        </r>
      </text>
    </comment>
    <comment ref="F502" authorId="1">
      <text>
        <r>
          <rPr>
            <sz val="11"/>
            <color theme="1"/>
            <rFont val="Calibri"/>
            <family val="2"/>
            <scheme val="minor"/>
          </rPr>
          <t>Introduzca el código SNIP</t>
        </r>
      </text>
    </comment>
    <comment ref="C503" authorId="1">
      <text>
        <r>
          <rPr>
            <sz val="11"/>
            <color theme="1"/>
            <rFont val="Calibri"/>
            <family val="2"/>
            <scheme val="minor"/>
          </rPr>
          <t>Introduzca la fecha de inicio del proceso, en formato dd-mm-aaaa</t>
        </r>
      </text>
    </comment>
    <comment ref="F503" authorId="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04" authorId="1">
      <text/>
    </comment>
    <comment ref="C505" authorId="1">
      <text>
        <r>
          <rPr>
            <sz val="11"/>
            <color theme="1"/>
            <rFont val="Calibri"/>
            <family val="2"/>
            <scheme val="minor"/>
          </rPr>
          <t>Introduzca la fecha prevista de adjudicación, en formato dd-mm-aaaa</t>
        </r>
      </text>
    </comment>
    <comment ref="F505" authorId="1">
      <text/>
    </comment>
    <comment ref="F506" authorId="1">
      <text/>
    </comment>
    <comment ref="A508" authorId="1">
      <text>
        <r>
          <rPr>
            <sz val="11"/>
            <color theme="1"/>
            <rFont val="Calibri"/>
            <family val="2"/>
            <scheme val="minor"/>
          </rPr>
          <t>Introduzca un codigo UNSPSC</t>
        </r>
      </text>
    </comment>
    <comment ref="B508" authorId="1">
      <text>
        <r>
          <rPr>
            <sz val="11"/>
            <color theme="1"/>
            <rFont val="Calibri"/>
            <family val="2"/>
            <scheme val="minor"/>
          </rPr>
          <t>Descripción calculada automáticamente a partir de código del artículo</t>
        </r>
      </text>
    </comment>
    <comment ref="C508" authorId="1">
      <text>
        <r>
          <rPr>
            <sz val="11"/>
            <color theme="1"/>
            <rFont val="Calibri"/>
            <family val="2"/>
            <scheme val="minor"/>
          </rPr>
          <t>Seleccione un valor de la lista</t>
        </r>
      </text>
    </comment>
    <comment ref="D508" authorId="1">
      <text>
        <r>
          <rPr>
            <sz val="11"/>
            <color theme="1"/>
            <rFont val="Calibri"/>
            <family val="2"/>
            <scheme val="minor"/>
          </rPr>
          <t>Introduzca un número con dos decimales como máximo. Debe ser igual o mayor a la "Cantidad Real Consumida"</t>
        </r>
      </text>
    </comment>
    <comment ref="E508" authorId="1">
      <text>
        <r>
          <rPr>
            <sz val="11"/>
            <color theme="1"/>
            <rFont val="Calibri"/>
            <family val="2"/>
            <scheme val="minor"/>
          </rPr>
          <t>Introduzca un número con dos decimales como máximo</t>
        </r>
      </text>
    </comment>
    <comment ref="F508" authorId="1">
      <text>
        <r>
          <rPr>
            <sz val="11"/>
            <color theme="1"/>
            <rFont val="Calibri"/>
            <family val="2"/>
            <scheme val="minor"/>
          </rPr>
          <t>Monto calculado automáticamente por el sistema</t>
        </r>
      </text>
    </comment>
    <comment ref="A516" authorId="1">
      <text>
        <r>
          <rPr>
            <sz val="11"/>
            <color theme="1"/>
            <rFont val="Calibri"/>
            <family val="2"/>
            <scheme val="minor"/>
          </rPr>
          <t>Introducir un texto con el nombre o referencia de la contratación</t>
        </r>
      </text>
    </comment>
    <comment ref="B516" authorId="1">
      <text>
        <r>
          <rPr>
            <sz val="11"/>
            <color theme="1"/>
            <rFont val="Calibri"/>
            <family val="2"/>
            <scheme val="minor"/>
          </rPr>
          <t>Introduzca un texto con la finalidad de la contratación</t>
        </r>
      </text>
    </comment>
    <comment ref="C516" authorId="1">
      <text>
        <r>
          <rPr>
            <sz val="11"/>
            <color theme="1"/>
            <rFont val="Calibri"/>
            <family val="2"/>
            <scheme val="minor"/>
          </rPr>
          <t>Seleccionar un valor del listado</t>
        </r>
      </text>
    </comment>
    <comment ref="D516" authorId="1">
      <text>
        <r>
          <rPr>
            <sz val="11"/>
            <color theme="1"/>
            <rFont val="Calibri"/>
            <family val="2"/>
            <scheme val="minor"/>
          </rPr>
          <t>Seleccione el tipo de procedimiento</t>
        </r>
      </text>
    </comment>
    <comment ref="E516" authorId="1">
      <text>
        <r>
          <rPr>
            <sz val="11"/>
            <color theme="1"/>
            <rFont val="Calibri"/>
            <family val="2"/>
            <scheme val="minor"/>
          </rPr>
          <t>Seleccione un valor de la lista</t>
        </r>
      </text>
    </comment>
    <comment ref="F516" authorId="1">
      <text>
        <r>
          <rPr>
            <sz val="11"/>
            <color theme="1"/>
            <rFont val="Calibri"/>
            <family val="2"/>
            <scheme val="minor"/>
          </rPr>
          <t>Introduzca el código SNIP</t>
        </r>
      </text>
    </comment>
    <comment ref="C517" authorId="1">
      <text>
        <r>
          <rPr>
            <sz val="11"/>
            <color theme="1"/>
            <rFont val="Calibri"/>
            <family val="2"/>
            <scheme val="minor"/>
          </rPr>
          <t>Introduzca la fecha de inicio del proceso, en formato dd-mm-aaaa</t>
        </r>
      </text>
    </comment>
    <comment ref="F517" authorId="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18" authorId="1">
      <text/>
    </comment>
    <comment ref="C519" authorId="1">
      <text>
        <r>
          <rPr>
            <sz val="11"/>
            <color theme="1"/>
            <rFont val="Calibri"/>
            <family val="2"/>
            <scheme val="minor"/>
          </rPr>
          <t>Introduzca la fecha prevista de adjudicación, en formato dd-mm-aaaa</t>
        </r>
      </text>
    </comment>
    <comment ref="F519" authorId="1">
      <text/>
    </comment>
    <comment ref="F520" authorId="1">
      <text/>
    </comment>
    <comment ref="A522" authorId="1">
      <text>
        <r>
          <rPr>
            <sz val="11"/>
            <color theme="1"/>
            <rFont val="Calibri"/>
            <family val="2"/>
            <scheme val="minor"/>
          </rPr>
          <t>Introduzca un codigo UNSPSC</t>
        </r>
      </text>
    </comment>
    <comment ref="B522" authorId="1">
      <text>
        <r>
          <rPr>
            <sz val="11"/>
            <color theme="1"/>
            <rFont val="Calibri"/>
            <family val="2"/>
            <scheme val="minor"/>
          </rPr>
          <t>Descripción calculada automáticamente a partir de código del artículo</t>
        </r>
      </text>
    </comment>
    <comment ref="C522" authorId="1">
      <text>
        <r>
          <rPr>
            <sz val="11"/>
            <color theme="1"/>
            <rFont val="Calibri"/>
            <family val="2"/>
            <scheme val="minor"/>
          </rPr>
          <t>Seleccione un valor de la lista</t>
        </r>
      </text>
    </comment>
    <comment ref="D522" authorId="1">
      <text>
        <r>
          <rPr>
            <sz val="11"/>
            <color theme="1"/>
            <rFont val="Calibri"/>
            <family val="2"/>
            <scheme val="minor"/>
          </rPr>
          <t>Introduzca un número con dos decimales como máximo. Debe ser igual o mayor a la "Cantidad Real Consumida"</t>
        </r>
      </text>
    </comment>
    <comment ref="E522" authorId="1">
      <text>
        <r>
          <rPr>
            <sz val="11"/>
            <color theme="1"/>
            <rFont val="Calibri"/>
            <family val="2"/>
            <scheme val="minor"/>
          </rPr>
          <t>Introduzca un número con dos decimales como máximo</t>
        </r>
      </text>
    </comment>
    <comment ref="F522" authorId="1">
      <text>
        <r>
          <rPr>
            <sz val="11"/>
            <color theme="1"/>
            <rFont val="Calibri"/>
            <family val="2"/>
            <scheme val="minor"/>
          </rPr>
          <t>Monto calculado automáticamente por el sistema</t>
        </r>
      </text>
    </comment>
    <comment ref="A556" authorId="1">
      <text>
        <r>
          <rPr>
            <sz val="11"/>
            <color theme="1"/>
            <rFont val="Calibri"/>
            <family val="2"/>
            <scheme val="minor"/>
          </rPr>
          <t>Introducir un texto con el nombre o referencia de la contratación</t>
        </r>
      </text>
    </comment>
    <comment ref="B556" authorId="1">
      <text>
        <r>
          <rPr>
            <sz val="11"/>
            <color theme="1"/>
            <rFont val="Calibri"/>
            <family val="2"/>
            <scheme val="minor"/>
          </rPr>
          <t>Introduzca un texto con la finalidad de la contratación</t>
        </r>
      </text>
    </comment>
    <comment ref="C556" authorId="1">
      <text>
        <r>
          <rPr>
            <sz val="11"/>
            <color theme="1"/>
            <rFont val="Calibri"/>
            <family val="2"/>
            <scheme val="minor"/>
          </rPr>
          <t>Seleccionar un valor del listado</t>
        </r>
      </text>
    </comment>
    <comment ref="D556" authorId="1">
      <text>
        <r>
          <rPr>
            <sz val="11"/>
            <color theme="1"/>
            <rFont val="Calibri"/>
            <family val="2"/>
            <scheme val="minor"/>
          </rPr>
          <t>Seleccione el tipo de procedimiento</t>
        </r>
      </text>
    </comment>
    <comment ref="E556" authorId="1">
      <text>
        <r>
          <rPr>
            <sz val="11"/>
            <color theme="1"/>
            <rFont val="Calibri"/>
            <family val="2"/>
            <scheme val="minor"/>
          </rPr>
          <t>Seleccione un valor de la lista</t>
        </r>
      </text>
    </comment>
    <comment ref="F556" authorId="1">
      <text>
        <r>
          <rPr>
            <sz val="11"/>
            <color theme="1"/>
            <rFont val="Calibri"/>
            <family val="2"/>
            <scheme val="minor"/>
          </rPr>
          <t>Introduzca el código SNIP</t>
        </r>
      </text>
    </comment>
    <comment ref="C557" authorId="1">
      <text>
        <r>
          <rPr>
            <sz val="11"/>
            <color theme="1"/>
            <rFont val="Calibri"/>
            <family val="2"/>
            <scheme val="minor"/>
          </rPr>
          <t>Introduzca la fecha de inicio del proceso, en formato dd-mm-aaaa</t>
        </r>
      </text>
    </comment>
    <comment ref="F557" authorId="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58" authorId="1">
      <text/>
    </comment>
    <comment ref="C559" authorId="1">
      <text>
        <r>
          <rPr>
            <sz val="11"/>
            <color theme="1"/>
            <rFont val="Calibri"/>
            <family val="2"/>
            <scheme val="minor"/>
          </rPr>
          <t>Introduzca la fecha prevista de adjudicación, en formato dd-mm-aaaa</t>
        </r>
      </text>
    </comment>
    <comment ref="F559" authorId="1">
      <text/>
    </comment>
    <comment ref="F560" authorId="1">
      <text/>
    </comment>
    <comment ref="A562" authorId="1">
      <text>
        <r>
          <rPr>
            <sz val="11"/>
            <color theme="1"/>
            <rFont val="Calibri"/>
            <family val="2"/>
            <scheme val="minor"/>
          </rPr>
          <t>Introduzca un codigo UNSPSC</t>
        </r>
      </text>
    </comment>
    <comment ref="B562" authorId="1">
      <text>
        <r>
          <rPr>
            <sz val="11"/>
            <color theme="1"/>
            <rFont val="Calibri"/>
            <family val="2"/>
            <scheme val="minor"/>
          </rPr>
          <t>Descripción calculada automáticamente a partir de código del artículo</t>
        </r>
      </text>
    </comment>
    <comment ref="C562" authorId="1">
      <text>
        <r>
          <rPr>
            <sz val="11"/>
            <color theme="1"/>
            <rFont val="Calibri"/>
            <family val="2"/>
            <scheme val="minor"/>
          </rPr>
          <t>Seleccione un valor de la lista</t>
        </r>
      </text>
    </comment>
    <comment ref="D562" authorId="1">
      <text>
        <r>
          <rPr>
            <sz val="11"/>
            <color theme="1"/>
            <rFont val="Calibri"/>
            <family val="2"/>
            <scheme val="minor"/>
          </rPr>
          <t>Introduzca un número con dos decimales como máximo. Debe ser igual o mayor a la "Cantidad Real Consumida"</t>
        </r>
      </text>
    </comment>
    <comment ref="E562" authorId="1">
      <text>
        <r>
          <rPr>
            <sz val="11"/>
            <color theme="1"/>
            <rFont val="Calibri"/>
            <family val="2"/>
            <scheme val="minor"/>
          </rPr>
          <t>Introduzca un número con dos decimales como máximo</t>
        </r>
      </text>
    </comment>
    <comment ref="F562" authorId="1">
      <text>
        <r>
          <rPr>
            <sz val="11"/>
            <color theme="1"/>
            <rFont val="Calibri"/>
            <family val="2"/>
            <scheme val="minor"/>
          </rPr>
          <t>Monto calculado automáticamente por el sistema</t>
        </r>
      </text>
    </comment>
    <comment ref="A596" authorId="1">
      <text>
        <r>
          <rPr>
            <sz val="11"/>
            <color theme="1"/>
            <rFont val="Calibri"/>
            <family val="2"/>
            <scheme val="minor"/>
          </rPr>
          <t>Introducir un texto con el nombre o referencia de la contratación</t>
        </r>
      </text>
    </comment>
    <comment ref="B596" authorId="1">
      <text>
        <r>
          <rPr>
            <sz val="11"/>
            <color theme="1"/>
            <rFont val="Calibri"/>
            <family val="2"/>
            <scheme val="minor"/>
          </rPr>
          <t>Introduzca un texto con la finalidad de la contratación</t>
        </r>
      </text>
    </comment>
    <comment ref="C596" authorId="1">
      <text>
        <r>
          <rPr>
            <sz val="11"/>
            <color theme="1"/>
            <rFont val="Calibri"/>
            <family val="2"/>
            <scheme val="minor"/>
          </rPr>
          <t>Seleccionar un valor del listado</t>
        </r>
      </text>
    </comment>
    <comment ref="D596" authorId="1">
      <text>
        <r>
          <rPr>
            <sz val="11"/>
            <color theme="1"/>
            <rFont val="Calibri"/>
            <family val="2"/>
            <scheme val="minor"/>
          </rPr>
          <t>Seleccione el tipo de procedimiento</t>
        </r>
      </text>
    </comment>
    <comment ref="E596" authorId="1">
      <text>
        <r>
          <rPr>
            <sz val="11"/>
            <color theme="1"/>
            <rFont val="Calibri"/>
            <family val="2"/>
            <scheme val="minor"/>
          </rPr>
          <t>Seleccione un valor de la lista</t>
        </r>
      </text>
    </comment>
    <comment ref="F596" authorId="1">
      <text>
        <r>
          <rPr>
            <sz val="11"/>
            <color theme="1"/>
            <rFont val="Calibri"/>
            <family val="2"/>
            <scheme val="minor"/>
          </rPr>
          <t>Introduzca el código SNIP</t>
        </r>
      </text>
    </comment>
    <comment ref="C597" authorId="1">
      <text>
        <r>
          <rPr>
            <sz val="11"/>
            <color theme="1"/>
            <rFont val="Calibri"/>
            <family val="2"/>
            <scheme val="minor"/>
          </rPr>
          <t>Introduzca la fecha de inicio del proceso, en formato dd-mm-aaaa</t>
        </r>
      </text>
    </comment>
    <comment ref="F597" authorId="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98" authorId="1">
      <text/>
    </comment>
    <comment ref="C599" authorId="1">
      <text>
        <r>
          <rPr>
            <sz val="11"/>
            <color theme="1"/>
            <rFont val="Calibri"/>
            <family val="2"/>
            <scheme val="minor"/>
          </rPr>
          <t>Introduzca la fecha prevista de adjudicación, en formato dd-mm-aaaa</t>
        </r>
      </text>
    </comment>
    <comment ref="F599" authorId="1">
      <text/>
    </comment>
    <comment ref="F600" authorId="1">
      <text/>
    </comment>
    <comment ref="A602" authorId="1">
      <text>
        <r>
          <rPr>
            <sz val="11"/>
            <color theme="1"/>
            <rFont val="Calibri"/>
            <family val="2"/>
            <scheme val="minor"/>
          </rPr>
          <t>Introduzca un codigo UNSPSC</t>
        </r>
      </text>
    </comment>
    <comment ref="B602" authorId="1">
      <text>
        <r>
          <rPr>
            <sz val="11"/>
            <color theme="1"/>
            <rFont val="Calibri"/>
            <family val="2"/>
            <scheme val="minor"/>
          </rPr>
          <t>Descripción calculada automáticamente a partir de código del artículo</t>
        </r>
      </text>
    </comment>
    <comment ref="C602" authorId="1">
      <text>
        <r>
          <rPr>
            <sz val="11"/>
            <color theme="1"/>
            <rFont val="Calibri"/>
            <family val="2"/>
            <scheme val="minor"/>
          </rPr>
          <t>Seleccione un valor de la lista</t>
        </r>
      </text>
    </comment>
    <comment ref="D602" authorId="1">
      <text>
        <r>
          <rPr>
            <sz val="11"/>
            <color theme="1"/>
            <rFont val="Calibri"/>
            <family val="2"/>
            <scheme val="minor"/>
          </rPr>
          <t>Introduzca un número con dos decimales como máximo. Debe ser igual o mayor a la "Cantidad Real Consumida"</t>
        </r>
      </text>
    </comment>
    <comment ref="E602" authorId="1">
      <text>
        <r>
          <rPr>
            <sz val="11"/>
            <color theme="1"/>
            <rFont val="Calibri"/>
            <family val="2"/>
            <scheme val="minor"/>
          </rPr>
          <t>Introduzca un número con dos decimales como máximo</t>
        </r>
      </text>
    </comment>
    <comment ref="F602" authorId="1">
      <text>
        <r>
          <rPr>
            <sz val="11"/>
            <color theme="1"/>
            <rFont val="Calibri"/>
            <family val="2"/>
            <scheme val="minor"/>
          </rPr>
          <t>Monto calculado automáticamente por el sistema</t>
        </r>
      </text>
    </comment>
    <comment ref="A621" authorId="1">
      <text>
        <r>
          <rPr>
            <sz val="11"/>
            <color theme="1"/>
            <rFont val="Calibri"/>
            <family val="2"/>
            <scheme val="minor"/>
          </rPr>
          <t>Introducir un texto con el nombre o referencia de la contratación</t>
        </r>
      </text>
    </comment>
    <comment ref="B621" authorId="1">
      <text>
        <r>
          <rPr>
            <sz val="11"/>
            <color theme="1"/>
            <rFont val="Calibri"/>
            <family val="2"/>
            <scheme val="minor"/>
          </rPr>
          <t>Introduzca un texto con la finalidad de la contratación</t>
        </r>
      </text>
    </comment>
    <comment ref="C621" authorId="1">
      <text>
        <r>
          <rPr>
            <sz val="11"/>
            <color theme="1"/>
            <rFont val="Calibri"/>
            <family val="2"/>
            <scheme val="minor"/>
          </rPr>
          <t>Seleccionar un valor del listado</t>
        </r>
      </text>
    </comment>
    <comment ref="D621" authorId="1">
      <text>
        <r>
          <rPr>
            <sz val="11"/>
            <color theme="1"/>
            <rFont val="Calibri"/>
            <family val="2"/>
            <scheme val="minor"/>
          </rPr>
          <t>Seleccione el tipo de procedimiento</t>
        </r>
      </text>
    </comment>
    <comment ref="E621" authorId="1">
      <text>
        <r>
          <rPr>
            <sz val="11"/>
            <color theme="1"/>
            <rFont val="Calibri"/>
            <family val="2"/>
            <scheme val="minor"/>
          </rPr>
          <t>Seleccione un valor de la lista</t>
        </r>
      </text>
    </comment>
    <comment ref="F621" authorId="1">
      <text>
        <r>
          <rPr>
            <sz val="11"/>
            <color theme="1"/>
            <rFont val="Calibri"/>
            <family val="2"/>
            <scheme val="minor"/>
          </rPr>
          <t>Introduzca el código SNIP</t>
        </r>
      </text>
    </comment>
    <comment ref="C622" authorId="1">
      <text>
        <r>
          <rPr>
            <sz val="11"/>
            <color theme="1"/>
            <rFont val="Calibri"/>
            <family val="2"/>
            <scheme val="minor"/>
          </rPr>
          <t>Introduzca la fecha de inicio del proceso, en formato dd-mm-aaaa</t>
        </r>
      </text>
    </comment>
    <comment ref="F622" authorId="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23" authorId="1">
      <text/>
    </comment>
    <comment ref="C624" authorId="1">
      <text>
        <r>
          <rPr>
            <sz val="11"/>
            <color theme="1"/>
            <rFont val="Calibri"/>
            <family val="2"/>
            <scheme val="minor"/>
          </rPr>
          <t>Introduzca la fecha prevista de adjudicación, en formato dd-mm-aaaa</t>
        </r>
      </text>
    </comment>
    <comment ref="F624" authorId="1">
      <text/>
    </comment>
    <comment ref="F625" authorId="1">
      <text/>
    </comment>
    <comment ref="A627" authorId="1">
      <text>
        <r>
          <rPr>
            <sz val="11"/>
            <color theme="1"/>
            <rFont val="Calibri"/>
            <family val="2"/>
            <scheme val="minor"/>
          </rPr>
          <t>Introduzca un codigo UNSPSC</t>
        </r>
      </text>
    </comment>
    <comment ref="B627" authorId="1">
      <text>
        <r>
          <rPr>
            <sz val="11"/>
            <color theme="1"/>
            <rFont val="Calibri"/>
            <family val="2"/>
            <scheme val="minor"/>
          </rPr>
          <t>Descripción calculada automáticamente a partir de código del artículo</t>
        </r>
      </text>
    </comment>
    <comment ref="C627" authorId="1">
      <text>
        <r>
          <rPr>
            <sz val="11"/>
            <color theme="1"/>
            <rFont val="Calibri"/>
            <family val="2"/>
            <scheme val="minor"/>
          </rPr>
          <t>Seleccione un valor de la lista</t>
        </r>
      </text>
    </comment>
    <comment ref="D627" authorId="1">
      <text>
        <r>
          <rPr>
            <sz val="11"/>
            <color theme="1"/>
            <rFont val="Calibri"/>
            <family val="2"/>
            <scheme val="minor"/>
          </rPr>
          <t>Introduzca un número con dos decimales como máximo. Debe ser igual o mayor a la "Cantidad Real Consumida"</t>
        </r>
      </text>
    </comment>
    <comment ref="E627" authorId="1">
      <text>
        <r>
          <rPr>
            <sz val="11"/>
            <color theme="1"/>
            <rFont val="Calibri"/>
            <family val="2"/>
            <scheme val="minor"/>
          </rPr>
          <t>Introduzca un número con dos decimales como máximo</t>
        </r>
      </text>
    </comment>
    <comment ref="F627" authorId="1">
      <text>
        <r>
          <rPr>
            <sz val="11"/>
            <color theme="1"/>
            <rFont val="Calibri"/>
            <family val="2"/>
            <scheme val="minor"/>
          </rPr>
          <t>Monto calculado automáticamente por el sistema</t>
        </r>
      </text>
    </comment>
    <comment ref="A657" authorId="1">
      <text>
        <r>
          <rPr>
            <sz val="11"/>
            <color theme="1"/>
            <rFont val="Calibri"/>
            <family val="2"/>
            <scheme val="minor"/>
          </rPr>
          <t>Introducir un texto con el nombre o referencia de la contratación</t>
        </r>
      </text>
    </comment>
    <comment ref="B657" authorId="1">
      <text>
        <r>
          <rPr>
            <sz val="11"/>
            <color theme="1"/>
            <rFont val="Calibri"/>
            <family val="2"/>
            <scheme val="minor"/>
          </rPr>
          <t>Introduzca un texto con la finalidad de la contratación</t>
        </r>
      </text>
    </comment>
    <comment ref="C657" authorId="1">
      <text>
        <r>
          <rPr>
            <sz val="11"/>
            <color theme="1"/>
            <rFont val="Calibri"/>
            <family val="2"/>
            <scheme val="minor"/>
          </rPr>
          <t>Seleccionar un valor del listado</t>
        </r>
      </text>
    </comment>
    <comment ref="D657" authorId="1">
      <text>
        <r>
          <rPr>
            <sz val="11"/>
            <color theme="1"/>
            <rFont val="Calibri"/>
            <family val="2"/>
            <scheme val="minor"/>
          </rPr>
          <t>Seleccione el tipo de procedimiento</t>
        </r>
      </text>
    </comment>
    <comment ref="E657" authorId="1">
      <text>
        <r>
          <rPr>
            <sz val="11"/>
            <color theme="1"/>
            <rFont val="Calibri"/>
            <family val="2"/>
            <scheme val="minor"/>
          </rPr>
          <t>Seleccione un valor de la lista</t>
        </r>
      </text>
    </comment>
    <comment ref="F657" authorId="1">
      <text>
        <r>
          <rPr>
            <sz val="11"/>
            <color theme="1"/>
            <rFont val="Calibri"/>
            <family val="2"/>
            <scheme val="minor"/>
          </rPr>
          <t>Introduzca el código SNIP</t>
        </r>
      </text>
    </comment>
    <comment ref="C658" authorId="1">
      <text>
        <r>
          <rPr>
            <sz val="11"/>
            <color theme="1"/>
            <rFont val="Calibri"/>
            <family val="2"/>
            <scheme val="minor"/>
          </rPr>
          <t>Introduzca la fecha de inicio del proceso, en formato dd-mm-aaaa</t>
        </r>
      </text>
    </comment>
    <comment ref="F658" authorId="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59" authorId="1">
      <text/>
    </comment>
    <comment ref="C660" authorId="1">
      <text>
        <r>
          <rPr>
            <sz val="11"/>
            <color theme="1"/>
            <rFont val="Calibri"/>
            <family val="2"/>
            <scheme val="minor"/>
          </rPr>
          <t>Introduzca la fecha prevista de adjudicación, en formato dd-mm-aaaa</t>
        </r>
      </text>
    </comment>
    <comment ref="F660" authorId="1">
      <text/>
    </comment>
    <comment ref="F661" authorId="1">
      <text/>
    </comment>
    <comment ref="A663" authorId="1">
      <text>
        <r>
          <rPr>
            <sz val="11"/>
            <color theme="1"/>
            <rFont val="Calibri"/>
            <family val="2"/>
            <scheme val="minor"/>
          </rPr>
          <t>Introduzca un codigo UNSPSC</t>
        </r>
      </text>
    </comment>
    <comment ref="B663" authorId="1">
      <text>
        <r>
          <rPr>
            <sz val="11"/>
            <color theme="1"/>
            <rFont val="Calibri"/>
            <family val="2"/>
            <scheme val="minor"/>
          </rPr>
          <t>Descripción calculada automáticamente a partir de código del artículo</t>
        </r>
      </text>
    </comment>
    <comment ref="C663" authorId="1">
      <text>
        <r>
          <rPr>
            <sz val="11"/>
            <color theme="1"/>
            <rFont val="Calibri"/>
            <family val="2"/>
            <scheme val="minor"/>
          </rPr>
          <t>Seleccione un valor de la lista</t>
        </r>
      </text>
    </comment>
    <comment ref="D663" authorId="1">
      <text>
        <r>
          <rPr>
            <sz val="11"/>
            <color theme="1"/>
            <rFont val="Calibri"/>
            <family val="2"/>
            <scheme val="minor"/>
          </rPr>
          <t>Introduzca un número con dos decimales como máximo. Debe ser igual o mayor a la "Cantidad Real Consumida"</t>
        </r>
      </text>
    </comment>
    <comment ref="E663" authorId="1">
      <text>
        <r>
          <rPr>
            <sz val="11"/>
            <color theme="1"/>
            <rFont val="Calibri"/>
            <family val="2"/>
            <scheme val="minor"/>
          </rPr>
          <t>Introduzca un número con dos decimales como máximo</t>
        </r>
      </text>
    </comment>
    <comment ref="F663" authorId="1">
      <text>
        <r>
          <rPr>
            <sz val="11"/>
            <color theme="1"/>
            <rFont val="Calibri"/>
            <family val="2"/>
            <scheme val="minor"/>
          </rPr>
          <t>Monto calculado automáticamente por el sistema</t>
        </r>
      </text>
    </comment>
    <comment ref="A668" authorId="1">
      <text>
        <r>
          <rPr>
            <sz val="11"/>
            <color theme="1"/>
            <rFont val="Calibri"/>
            <family val="2"/>
            <scheme val="minor"/>
          </rPr>
          <t>Introducir un texto con el nombre o referencia de la contratación</t>
        </r>
      </text>
    </comment>
    <comment ref="B668" authorId="1">
      <text>
        <r>
          <rPr>
            <sz val="11"/>
            <color theme="1"/>
            <rFont val="Calibri"/>
            <family val="2"/>
            <scheme val="minor"/>
          </rPr>
          <t>Introduzca un texto con la finalidad de la contratación</t>
        </r>
      </text>
    </comment>
    <comment ref="C668" authorId="1">
      <text>
        <r>
          <rPr>
            <sz val="11"/>
            <color theme="1"/>
            <rFont val="Calibri"/>
            <family val="2"/>
            <scheme val="minor"/>
          </rPr>
          <t>Seleccionar un valor del listado</t>
        </r>
      </text>
    </comment>
    <comment ref="D668" authorId="1">
      <text>
        <r>
          <rPr>
            <sz val="11"/>
            <color theme="1"/>
            <rFont val="Calibri"/>
            <family val="2"/>
            <scheme val="minor"/>
          </rPr>
          <t>Seleccione el tipo de procedimiento</t>
        </r>
      </text>
    </comment>
    <comment ref="E668" authorId="1">
      <text>
        <r>
          <rPr>
            <sz val="11"/>
            <color theme="1"/>
            <rFont val="Calibri"/>
            <family val="2"/>
            <scheme val="minor"/>
          </rPr>
          <t>Seleccione un valor de la lista</t>
        </r>
      </text>
    </comment>
    <comment ref="F668" authorId="1">
      <text>
        <r>
          <rPr>
            <sz val="11"/>
            <color theme="1"/>
            <rFont val="Calibri"/>
            <family val="2"/>
            <scheme val="minor"/>
          </rPr>
          <t>Introduzca el código SNIP</t>
        </r>
      </text>
    </comment>
    <comment ref="C669" authorId="1">
      <text>
        <r>
          <rPr>
            <sz val="11"/>
            <color theme="1"/>
            <rFont val="Calibri"/>
            <family val="2"/>
            <scheme val="minor"/>
          </rPr>
          <t>Introduzca la fecha de inicio del proceso, en formato dd-mm-aaaa</t>
        </r>
      </text>
    </comment>
    <comment ref="F669" authorId="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70" authorId="1">
      <text/>
    </comment>
    <comment ref="C671" authorId="1">
      <text>
        <r>
          <rPr>
            <sz val="11"/>
            <color theme="1"/>
            <rFont val="Calibri"/>
            <family val="2"/>
            <scheme val="minor"/>
          </rPr>
          <t>Introduzca la fecha prevista de adjudicación, en formato dd-mm-aaaa</t>
        </r>
      </text>
    </comment>
    <comment ref="F671" authorId="1">
      <text/>
    </comment>
    <comment ref="F672" authorId="1">
      <text/>
    </comment>
    <comment ref="A674" authorId="1">
      <text>
        <r>
          <rPr>
            <sz val="11"/>
            <color theme="1"/>
            <rFont val="Calibri"/>
            <family val="2"/>
            <scheme val="minor"/>
          </rPr>
          <t>Introduzca un codigo UNSPSC</t>
        </r>
      </text>
    </comment>
    <comment ref="B674" authorId="1">
      <text>
        <r>
          <rPr>
            <sz val="11"/>
            <color theme="1"/>
            <rFont val="Calibri"/>
            <family val="2"/>
            <scheme val="minor"/>
          </rPr>
          <t>Descripción calculada automáticamente a partir de código del artículo</t>
        </r>
      </text>
    </comment>
    <comment ref="C674" authorId="1">
      <text>
        <r>
          <rPr>
            <sz val="11"/>
            <color theme="1"/>
            <rFont val="Calibri"/>
            <family val="2"/>
            <scheme val="minor"/>
          </rPr>
          <t>Seleccione un valor de la lista</t>
        </r>
      </text>
    </comment>
    <comment ref="D674" authorId="1">
      <text>
        <r>
          <rPr>
            <sz val="11"/>
            <color theme="1"/>
            <rFont val="Calibri"/>
            <family val="2"/>
            <scheme val="minor"/>
          </rPr>
          <t>Introduzca un número con dos decimales como máximo. Debe ser igual o mayor a la "Cantidad Real Consumida"</t>
        </r>
      </text>
    </comment>
    <comment ref="E674" authorId="1">
      <text>
        <r>
          <rPr>
            <sz val="11"/>
            <color theme="1"/>
            <rFont val="Calibri"/>
            <family val="2"/>
            <scheme val="minor"/>
          </rPr>
          <t>Introduzca un número con dos decimales como máximo</t>
        </r>
      </text>
    </comment>
    <comment ref="F674" authorId="1">
      <text>
        <r>
          <rPr>
            <sz val="11"/>
            <color theme="1"/>
            <rFont val="Calibri"/>
            <family val="2"/>
            <scheme val="minor"/>
          </rPr>
          <t>Monto calculado automáticamente por el sistema</t>
        </r>
      </text>
    </comment>
    <comment ref="A686" authorId="1">
      <text>
        <r>
          <rPr>
            <sz val="11"/>
            <color theme="1"/>
            <rFont val="Calibri"/>
            <family val="2"/>
            <scheme val="minor"/>
          </rPr>
          <t>Introducir un texto con el nombre o referencia de la contratación</t>
        </r>
      </text>
    </comment>
    <comment ref="B686" authorId="1">
      <text>
        <r>
          <rPr>
            <sz val="11"/>
            <color theme="1"/>
            <rFont val="Calibri"/>
            <family val="2"/>
            <scheme val="minor"/>
          </rPr>
          <t>Introduzca un texto con la finalidad de la contratación</t>
        </r>
      </text>
    </comment>
    <comment ref="C686" authorId="1">
      <text>
        <r>
          <rPr>
            <sz val="11"/>
            <color theme="1"/>
            <rFont val="Calibri"/>
            <family val="2"/>
            <scheme val="minor"/>
          </rPr>
          <t>Seleccionar un valor del listado</t>
        </r>
      </text>
    </comment>
    <comment ref="D686" authorId="1">
      <text>
        <r>
          <rPr>
            <sz val="11"/>
            <color theme="1"/>
            <rFont val="Calibri"/>
            <family val="2"/>
            <scheme val="minor"/>
          </rPr>
          <t>Seleccione el tipo de procedimiento</t>
        </r>
      </text>
    </comment>
    <comment ref="E686" authorId="1">
      <text>
        <r>
          <rPr>
            <sz val="11"/>
            <color theme="1"/>
            <rFont val="Calibri"/>
            <family val="2"/>
            <scheme val="minor"/>
          </rPr>
          <t>Seleccione un valor de la lista</t>
        </r>
      </text>
    </comment>
    <comment ref="F686" authorId="1">
      <text>
        <r>
          <rPr>
            <sz val="11"/>
            <color theme="1"/>
            <rFont val="Calibri"/>
            <family val="2"/>
            <scheme val="minor"/>
          </rPr>
          <t>Introduzca el código SNIP</t>
        </r>
      </text>
    </comment>
    <comment ref="C687" authorId="1">
      <text>
        <r>
          <rPr>
            <sz val="11"/>
            <color theme="1"/>
            <rFont val="Calibri"/>
            <family val="2"/>
            <scheme val="minor"/>
          </rPr>
          <t>Introduzca la fecha de inicio del proceso, en formato dd-mm-aaaa</t>
        </r>
      </text>
    </comment>
    <comment ref="F687" authorId="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88" authorId="1">
      <text/>
    </comment>
    <comment ref="C689" authorId="1">
      <text>
        <r>
          <rPr>
            <sz val="11"/>
            <color theme="1"/>
            <rFont val="Calibri"/>
            <family val="2"/>
            <scheme val="minor"/>
          </rPr>
          <t>Introduzca la fecha prevista de adjudicación, en formato dd-mm-aaaa</t>
        </r>
      </text>
    </comment>
    <comment ref="F689" authorId="1">
      <text/>
    </comment>
    <comment ref="F690" authorId="1">
      <text/>
    </comment>
    <comment ref="A692" authorId="1">
      <text>
        <r>
          <rPr>
            <sz val="11"/>
            <color theme="1"/>
            <rFont val="Calibri"/>
            <family val="2"/>
            <scheme val="minor"/>
          </rPr>
          <t>Introduzca un codigo UNSPSC</t>
        </r>
      </text>
    </comment>
    <comment ref="B692" authorId="1">
      <text>
        <r>
          <rPr>
            <sz val="11"/>
            <color theme="1"/>
            <rFont val="Calibri"/>
            <family val="2"/>
            <scheme val="minor"/>
          </rPr>
          <t>Descripción calculada automáticamente a partir de código del artículo</t>
        </r>
      </text>
    </comment>
    <comment ref="C692" authorId="1">
      <text>
        <r>
          <rPr>
            <sz val="11"/>
            <color theme="1"/>
            <rFont val="Calibri"/>
            <family val="2"/>
            <scheme val="minor"/>
          </rPr>
          <t>Seleccione un valor de la lista</t>
        </r>
      </text>
    </comment>
    <comment ref="D692" authorId="1">
      <text>
        <r>
          <rPr>
            <sz val="11"/>
            <color theme="1"/>
            <rFont val="Calibri"/>
            <family val="2"/>
            <scheme val="minor"/>
          </rPr>
          <t>Introduzca un número con dos decimales como máximo. Debe ser igual o mayor a la "Cantidad Real Consumida"</t>
        </r>
      </text>
    </comment>
    <comment ref="E692" authorId="1">
      <text>
        <r>
          <rPr>
            <sz val="11"/>
            <color theme="1"/>
            <rFont val="Calibri"/>
            <family val="2"/>
            <scheme val="minor"/>
          </rPr>
          <t>Introduzca un número con dos decimales como máximo</t>
        </r>
      </text>
    </comment>
    <comment ref="F692" authorId="1">
      <text>
        <r>
          <rPr>
            <sz val="11"/>
            <color theme="1"/>
            <rFont val="Calibri"/>
            <family val="2"/>
            <scheme val="minor"/>
          </rPr>
          <t>Monto calculado automáticamente por el sistema</t>
        </r>
      </text>
    </comment>
    <comment ref="A700" authorId="1">
      <text>
        <r>
          <rPr>
            <sz val="11"/>
            <color theme="1"/>
            <rFont val="Calibri"/>
            <family val="2"/>
            <scheme val="minor"/>
          </rPr>
          <t>Introducir un texto con el nombre o referencia de la contratación</t>
        </r>
      </text>
    </comment>
    <comment ref="B700" authorId="1">
      <text>
        <r>
          <rPr>
            <sz val="11"/>
            <color theme="1"/>
            <rFont val="Calibri"/>
            <family val="2"/>
            <scheme val="minor"/>
          </rPr>
          <t>Introduzca un texto con la finalidad de la contratación</t>
        </r>
      </text>
    </comment>
    <comment ref="C700" authorId="1">
      <text>
        <r>
          <rPr>
            <sz val="11"/>
            <color theme="1"/>
            <rFont val="Calibri"/>
            <family val="2"/>
            <scheme val="minor"/>
          </rPr>
          <t>Seleccionar un valor del listado</t>
        </r>
      </text>
    </comment>
    <comment ref="D700" authorId="1">
      <text>
        <r>
          <rPr>
            <sz val="11"/>
            <color theme="1"/>
            <rFont val="Calibri"/>
            <family val="2"/>
            <scheme val="minor"/>
          </rPr>
          <t>Seleccione el tipo de procedimiento</t>
        </r>
      </text>
    </comment>
    <comment ref="E700" authorId="1">
      <text>
        <r>
          <rPr>
            <sz val="11"/>
            <color theme="1"/>
            <rFont val="Calibri"/>
            <family val="2"/>
            <scheme val="minor"/>
          </rPr>
          <t>Seleccione un valor de la lista</t>
        </r>
      </text>
    </comment>
    <comment ref="F700" authorId="1">
      <text>
        <r>
          <rPr>
            <sz val="11"/>
            <color theme="1"/>
            <rFont val="Calibri"/>
            <family val="2"/>
            <scheme val="minor"/>
          </rPr>
          <t>Introduzca el código SNIP</t>
        </r>
      </text>
    </comment>
    <comment ref="C701" authorId="1">
      <text>
        <r>
          <rPr>
            <sz val="11"/>
            <color theme="1"/>
            <rFont val="Calibri"/>
            <family val="2"/>
            <scheme val="minor"/>
          </rPr>
          <t>Introduzca la fecha de inicio del proceso, en formato dd-mm-aaaa</t>
        </r>
      </text>
    </comment>
    <comment ref="F701" authorId="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02" authorId="1">
      <text/>
    </comment>
    <comment ref="C703" authorId="1">
      <text>
        <r>
          <rPr>
            <sz val="11"/>
            <color theme="1"/>
            <rFont val="Calibri"/>
            <family val="2"/>
            <scheme val="minor"/>
          </rPr>
          <t>Introduzca la fecha prevista de adjudicación, en formato dd-mm-aaaa</t>
        </r>
      </text>
    </comment>
    <comment ref="F703" authorId="1">
      <text/>
    </comment>
    <comment ref="F704" authorId="1">
      <text/>
    </comment>
    <comment ref="A706" authorId="1">
      <text>
        <r>
          <rPr>
            <sz val="11"/>
            <color theme="1"/>
            <rFont val="Calibri"/>
            <family val="2"/>
            <scheme val="minor"/>
          </rPr>
          <t>Introduzca un codigo UNSPSC</t>
        </r>
      </text>
    </comment>
    <comment ref="B706" authorId="1">
      <text>
        <r>
          <rPr>
            <sz val="11"/>
            <color theme="1"/>
            <rFont val="Calibri"/>
            <family val="2"/>
            <scheme val="minor"/>
          </rPr>
          <t>Descripción calculada automáticamente a partir de código del artículo</t>
        </r>
      </text>
    </comment>
    <comment ref="C706" authorId="1">
      <text>
        <r>
          <rPr>
            <sz val="11"/>
            <color theme="1"/>
            <rFont val="Calibri"/>
            <family val="2"/>
            <scheme val="minor"/>
          </rPr>
          <t>Seleccione un valor de la lista</t>
        </r>
      </text>
    </comment>
    <comment ref="D706" authorId="1">
      <text>
        <r>
          <rPr>
            <sz val="11"/>
            <color theme="1"/>
            <rFont val="Calibri"/>
            <family val="2"/>
            <scheme val="minor"/>
          </rPr>
          <t>Introduzca un número con dos decimales como máximo. Debe ser igual o mayor a la "Cantidad Real Consumida"</t>
        </r>
      </text>
    </comment>
    <comment ref="E706" authorId="1">
      <text>
        <r>
          <rPr>
            <sz val="11"/>
            <color theme="1"/>
            <rFont val="Calibri"/>
            <family val="2"/>
            <scheme val="minor"/>
          </rPr>
          <t>Introduzca un número con dos decimales como máximo</t>
        </r>
      </text>
    </comment>
    <comment ref="F706" authorId="1">
      <text>
        <r>
          <rPr>
            <sz val="11"/>
            <color theme="1"/>
            <rFont val="Calibri"/>
            <family val="2"/>
            <scheme val="minor"/>
          </rPr>
          <t>Monto calculado automáticamente por el sistema</t>
        </r>
      </text>
    </comment>
    <comment ref="A725" authorId="1">
      <text>
        <r>
          <rPr>
            <sz val="11"/>
            <color theme="1"/>
            <rFont val="Calibri"/>
            <family val="2"/>
            <scheme val="minor"/>
          </rPr>
          <t>Introducir un texto con el nombre o referencia de la contratación</t>
        </r>
      </text>
    </comment>
    <comment ref="B725" authorId="1">
      <text>
        <r>
          <rPr>
            <sz val="11"/>
            <color theme="1"/>
            <rFont val="Calibri"/>
            <family val="2"/>
            <scheme val="minor"/>
          </rPr>
          <t>Introduzca un texto con la finalidad de la contratación</t>
        </r>
      </text>
    </comment>
    <comment ref="C725" authorId="1">
      <text>
        <r>
          <rPr>
            <sz val="11"/>
            <color theme="1"/>
            <rFont val="Calibri"/>
            <family val="2"/>
            <scheme val="minor"/>
          </rPr>
          <t>Seleccionar un valor del listado</t>
        </r>
      </text>
    </comment>
    <comment ref="D725" authorId="1">
      <text>
        <r>
          <rPr>
            <sz val="11"/>
            <color theme="1"/>
            <rFont val="Calibri"/>
            <family val="2"/>
            <scheme val="minor"/>
          </rPr>
          <t>Seleccione el tipo de procedimiento</t>
        </r>
      </text>
    </comment>
    <comment ref="E725" authorId="1">
      <text>
        <r>
          <rPr>
            <sz val="11"/>
            <color theme="1"/>
            <rFont val="Calibri"/>
            <family val="2"/>
            <scheme val="minor"/>
          </rPr>
          <t>Seleccione un valor de la lista</t>
        </r>
      </text>
    </comment>
    <comment ref="F725" authorId="1">
      <text>
        <r>
          <rPr>
            <sz val="11"/>
            <color theme="1"/>
            <rFont val="Calibri"/>
            <family val="2"/>
            <scheme val="minor"/>
          </rPr>
          <t>Introduzca el código SNIP</t>
        </r>
      </text>
    </comment>
    <comment ref="C726" authorId="1">
      <text>
        <r>
          <rPr>
            <sz val="11"/>
            <color theme="1"/>
            <rFont val="Calibri"/>
            <family val="2"/>
            <scheme val="minor"/>
          </rPr>
          <t>Introduzca la fecha de inicio del proceso, en formato dd-mm-aaaa</t>
        </r>
      </text>
    </comment>
    <comment ref="F726" authorId="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27" authorId="1">
      <text/>
    </comment>
    <comment ref="C728" authorId="1">
      <text>
        <r>
          <rPr>
            <sz val="11"/>
            <color theme="1"/>
            <rFont val="Calibri"/>
            <family val="2"/>
            <scheme val="minor"/>
          </rPr>
          <t>Introduzca la fecha prevista de adjudicación, en formato dd-mm-aaaa</t>
        </r>
      </text>
    </comment>
    <comment ref="F728" authorId="1">
      <text/>
    </comment>
    <comment ref="F729" authorId="1">
      <text/>
    </comment>
    <comment ref="A731" authorId="1">
      <text>
        <r>
          <rPr>
            <sz val="11"/>
            <color theme="1"/>
            <rFont val="Calibri"/>
            <family val="2"/>
            <scheme val="minor"/>
          </rPr>
          <t>Introduzca un codigo UNSPSC</t>
        </r>
      </text>
    </comment>
    <comment ref="B731" authorId="1">
      <text>
        <r>
          <rPr>
            <sz val="11"/>
            <color theme="1"/>
            <rFont val="Calibri"/>
            <family val="2"/>
            <scheme val="minor"/>
          </rPr>
          <t>Descripción calculada automáticamente a partir de código del artículo</t>
        </r>
      </text>
    </comment>
    <comment ref="C731" authorId="1">
      <text>
        <r>
          <rPr>
            <sz val="11"/>
            <color theme="1"/>
            <rFont val="Calibri"/>
            <family val="2"/>
            <scheme val="minor"/>
          </rPr>
          <t>Seleccione un valor de la lista</t>
        </r>
      </text>
    </comment>
    <comment ref="D731" authorId="1">
      <text>
        <r>
          <rPr>
            <sz val="11"/>
            <color theme="1"/>
            <rFont val="Calibri"/>
            <family val="2"/>
            <scheme val="minor"/>
          </rPr>
          <t>Introduzca un número con dos decimales como máximo. Debe ser igual o mayor a la "Cantidad Real Consumida"</t>
        </r>
      </text>
    </comment>
    <comment ref="E731" authorId="1">
      <text>
        <r>
          <rPr>
            <sz val="11"/>
            <color theme="1"/>
            <rFont val="Calibri"/>
            <family val="2"/>
            <scheme val="minor"/>
          </rPr>
          <t>Introduzca un número con dos decimales como máximo</t>
        </r>
      </text>
    </comment>
    <comment ref="F731" authorId="1">
      <text>
        <r>
          <rPr>
            <sz val="11"/>
            <color theme="1"/>
            <rFont val="Calibri"/>
            <family val="2"/>
            <scheme val="minor"/>
          </rPr>
          <t>Monto calculado automáticamente por el sistema</t>
        </r>
      </text>
    </comment>
    <comment ref="A741" authorId="1">
      <text>
        <r>
          <rPr>
            <sz val="11"/>
            <color theme="1"/>
            <rFont val="Calibri"/>
            <family val="2"/>
            <scheme val="minor"/>
          </rPr>
          <t>Introducir un texto con el nombre o referencia de la contratación</t>
        </r>
      </text>
    </comment>
    <comment ref="B741" authorId="1">
      <text>
        <r>
          <rPr>
            <sz val="11"/>
            <color theme="1"/>
            <rFont val="Calibri"/>
            <family val="2"/>
            <scheme val="minor"/>
          </rPr>
          <t>Introduzca un texto con la finalidad de la contratación</t>
        </r>
      </text>
    </comment>
    <comment ref="C741" authorId="1">
      <text>
        <r>
          <rPr>
            <sz val="11"/>
            <color theme="1"/>
            <rFont val="Calibri"/>
            <family val="2"/>
            <scheme val="minor"/>
          </rPr>
          <t>Seleccionar un valor del listado</t>
        </r>
      </text>
    </comment>
    <comment ref="D741" authorId="1">
      <text>
        <r>
          <rPr>
            <sz val="11"/>
            <color theme="1"/>
            <rFont val="Calibri"/>
            <family val="2"/>
            <scheme val="minor"/>
          </rPr>
          <t>Seleccione el tipo de procedimiento</t>
        </r>
      </text>
    </comment>
    <comment ref="E741" authorId="1">
      <text>
        <r>
          <rPr>
            <sz val="11"/>
            <color theme="1"/>
            <rFont val="Calibri"/>
            <family val="2"/>
            <scheme val="minor"/>
          </rPr>
          <t>Seleccione un valor de la lista</t>
        </r>
      </text>
    </comment>
    <comment ref="F741" authorId="1">
      <text>
        <r>
          <rPr>
            <sz val="11"/>
            <color theme="1"/>
            <rFont val="Calibri"/>
            <family val="2"/>
            <scheme val="minor"/>
          </rPr>
          <t>Introduzca el código SNIP</t>
        </r>
      </text>
    </comment>
    <comment ref="C742" authorId="1">
      <text>
        <r>
          <rPr>
            <sz val="11"/>
            <color theme="1"/>
            <rFont val="Calibri"/>
            <family val="2"/>
            <scheme val="minor"/>
          </rPr>
          <t>Introduzca la fecha de inicio del proceso, en formato dd-mm-aaaa</t>
        </r>
      </text>
    </comment>
    <comment ref="F742" authorId="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43" authorId="1">
      <text/>
    </comment>
    <comment ref="C744" authorId="1">
      <text>
        <r>
          <rPr>
            <sz val="11"/>
            <color theme="1"/>
            <rFont val="Calibri"/>
            <family val="2"/>
            <scheme val="minor"/>
          </rPr>
          <t>Introduzca la fecha prevista de adjudicación, en formato dd-mm-aaaa</t>
        </r>
      </text>
    </comment>
    <comment ref="F744" authorId="1">
      <text/>
    </comment>
    <comment ref="F745" authorId="1">
      <text/>
    </comment>
    <comment ref="A747" authorId="1">
      <text>
        <r>
          <rPr>
            <sz val="11"/>
            <color theme="1"/>
            <rFont val="Calibri"/>
            <family val="2"/>
            <scheme val="minor"/>
          </rPr>
          <t>Introduzca un codigo UNSPSC</t>
        </r>
      </text>
    </comment>
    <comment ref="B747" authorId="1">
      <text>
        <r>
          <rPr>
            <sz val="11"/>
            <color theme="1"/>
            <rFont val="Calibri"/>
            <family val="2"/>
            <scheme val="minor"/>
          </rPr>
          <t>Descripción calculada automáticamente a partir de código del artículo</t>
        </r>
      </text>
    </comment>
    <comment ref="C747" authorId="1">
      <text>
        <r>
          <rPr>
            <sz val="11"/>
            <color theme="1"/>
            <rFont val="Calibri"/>
            <family val="2"/>
            <scheme val="minor"/>
          </rPr>
          <t>Seleccione un valor de la lista</t>
        </r>
      </text>
    </comment>
    <comment ref="D747" authorId="1">
      <text>
        <r>
          <rPr>
            <sz val="11"/>
            <color theme="1"/>
            <rFont val="Calibri"/>
            <family val="2"/>
            <scheme val="minor"/>
          </rPr>
          <t>Introduzca un número con dos decimales como máximo. Debe ser igual o mayor a la "Cantidad Real Consumida"</t>
        </r>
      </text>
    </comment>
    <comment ref="E747" authorId="1">
      <text>
        <r>
          <rPr>
            <sz val="11"/>
            <color theme="1"/>
            <rFont val="Calibri"/>
            <family val="2"/>
            <scheme val="minor"/>
          </rPr>
          <t>Introduzca un número con dos decimales como máximo</t>
        </r>
      </text>
    </comment>
    <comment ref="F747" authorId="1">
      <text>
        <r>
          <rPr>
            <sz val="11"/>
            <color theme="1"/>
            <rFont val="Calibri"/>
            <family val="2"/>
            <scheme val="minor"/>
          </rPr>
          <t>Monto calculado automáticamente por el sistema</t>
        </r>
      </text>
    </comment>
    <comment ref="A752" authorId="1">
      <text>
        <r>
          <rPr>
            <sz val="11"/>
            <color theme="1"/>
            <rFont val="Calibri"/>
            <family val="2"/>
            <scheme val="minor"/>
          </rPr>
          <t>Introducir un texto con el nombre o referencia de la contratación</t>
        </r>
      </text>
    </comment>
    <comment ref="B752" authorId="1">
      <text>
        <r>
          <rPr>
            <sz val="11"/>
            <color theme="1"/>
            <rFont val="Calibri"/>
            <family val="2"/>
            <scheme val="minor"/>
          </rPr>
          <t>Introduzca un texto con la finalidad de la contratación</t>
        </r>
      </text>
    </comment>
    <comment ref="C752" authorId="1">
      <text>
        <r>
          <rPr>
            <sz val="11"/>
            <color theme="1"/>
            <rFont val="Calibri"/>
            <family val="2"/>
            <scheme val="minor"/>
          </rPr>
          <t>Seleccionar un valor del listado</t>
        </r>
      </text>
    </comment>
    <comment ref="D752" authorId="1">
      <text>
        <r>
          <rPr>
            <sz val="11"/>
            <color theme="1"/>
            <rFont val="Calibri"/>
            <family val="2"/>
            <scheme val="minor"/>
          </rPr>
          <t>Seleccione el tipo de procedimiento</t>
        </r>
      </text>
    </comment>
    <comment ref="E752" authorId="1">
      <text>
        <r>
          <rPr>
            <sz val="11"/>
            <color theme="1"/>
            <rFont val="Calibri"/>
            <family val="2"/>
            <scheme val="minor"/>
          </rPr>
          <t>Seleccione un valor de la lista</t>
        </r>
      </text>
    </comment>
    <comment ref="F752" authorId="1">
      <text>
        <r>
          <rPr>
            <sz val="11"/>
            <color theme="1"/>
            <rFont val="Calibri"/>
            <family val="2"/>
            <scheme val="minor"/>
          </rPr>
          <t>Introduzca el código SNIP</t>
        </r>
      </text>
    </comment>
    <comment ref="C753" authorId="1">
      <text>
        <r>
          <rPr>
            <sz val="11"/>
            <color theme="1"/>
            <rFont val="Calibri"/>
            <family val="2"/>
            <scheme val="minor"/>
          </rPr>
          <t>Introduzca la fecha de inicio del proceso, en formato dd-mm-aaaa</t>
        </r>
      </text>
    </comment>
    <comment ref="F753" authorId="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54" authorId="1">
      <text/>
    </comment>
    <comment ref="C755" authorId="1">
      <text>
        <r>
          <rPr>
            <sz val="11"/>
            <color theme="1"/>
            <rFont val="Calibri"/>
            <family val="2"/>
            <scheme val="minor"/>
          </rPr>
          <t>Introduzca la fecha prevista de adjudicación, en formato dd-mm-aaaa</t>
        </r>
      </text>
    </comment>
    <comment ref="F755" authorId="1">
      <text/>
    </comment>
    <comment ref="F756" authorId="1">
      <text/>
    </comment>
    <comment ref="A758" authorId="1">
      <text>
        <r>
          <rPr>
            <sz val="11"/>
            <color theme="1"/>
            <rFont val="Calibri"/>
            <family val="2"/>
            <scheme val="minor"/>
          </rPr>
          <t>Introduzca un codigo UNSPSC</t>
        </r>
      </text>
    </comment>
    <comment ref="B758" authorId="1">
      <text>
        <r>
          <rPr>
            <sz val="11"/>
            <color theme="1"/>
            <rFont val="Calibri"/>
            <family val="2"/>
            <scheme val="minor"/>
          </rPr>
          <t>Descripción calculada automáticamente a partir de código del artículo</t>
        </r>
      </text>
    </comment>
    <comment ref="C758" authorId="1">
      <text>
        <r>
          <rPr>
            <sz val="11"/>
            <color theme="1"/>
            <rFont val="Calibri"/>
            <family val="2"/>
            <scheme val="minor"/>
          </rPr>
          <t>Seleccione un valor de la lista</t>
        </r>
      </text>
    </comment>
    <comment ref="D758" authorId="1">
      <text>
        <r>
          <rPr>
            <sz val="11"/>
            <color theme="1"/>
            <rFont val="Calibri"/>
            <family val="2"/>
            <scheme val="minor"/>
          </rPr>
          <t>Introduzca un número con dos decimales como máximo. Debe ser igual o mayor a la "Cantidad Real Consumida"</t>
        </r>
      </text>
    </comment>
    <comment ref="E758" authorId="1">
      <text>
        <r>
          <rPr>
            <sz val="11"/>
            <color theme="1"/>
            <rFont val="Calibri"/>
            <family val="2"/>
            <scheme val="minor"/>
          </rPr>
          <t>Introduzca un número con dos decimales como máximo</t>
        </r>
      </text>
    </comment>
    <comment ref="F758" authorId="1">
      <text>
        <r>
          <rPr>
            <sz val="11"/>
            <color theme="1"/>
            <rFont val="Calibri"/>
            <family val="2"/>
            <scheme val="minor"/>
          </rPr>
          <t>Monto calculado automáticamente por el sistema</t>
        </r>
      </text>
    </comment>
    <comment ref="A764" authorId="1">
      <text>
        <r>
          <rPr>
            <sz val="11"/>
            <color theme="1"/>
            <rFont val="Calibri"/>
            <family val="2"/>
            <scheme val="minor"/>
          </rPr>
          <t>Introducir un texto con el nombre o referencia de la contratación</t>
        </r>
      </text>
    </comment>
    <comment ref="B764" authorId="1">
      <text>
        <r>
          <rPr>
            <sz val="11"/>
            <color theme="1"/>
            <rFont val="Calibri"/>
            <family val="2"/>
            <scheme val="minor"/>
          </rPr>
          <t>Introduzca un texto con la finalidad de la contratación</t>
        </r>
      </text>
    </comment>
    <comment ref="C764" authorId="1">
      <text>
        <r>
          <rPr>
            <sz val="11"/>
            <color theme="1"/>
            <rFont val="Calibri"/>
            <family val="2"/>
            <scheme val="minor"/>
          </rPr>
          <t>Seleccionar un valor del listado</t>
        </r>
      </text>
    </comment>
    <comment ref="D764" authorId="1">
      <text>
        <r>
          <rPr>
            <sz val="11"/>
            <color theme="1"/>
            <rFont val="Calibri"/>
            <family val="2"/>
            <scheme val="minor"/>
          </rPr>
          <t>Seleccione el tipo de procedimiento</t>
        </r>
      </text>
    </comment>
    <comment ref="E764" authorId="1">
      <text>
        <r>
          <rPr>
            <sz val="11"/>
            <color theme="1"/>
            <rFont val="Calibri"/>
            <family val="2"/>
            <scheme val="minor"/>
          </rPr>
          <t>Seleccione un valor de la lista</t>
        </r>
      </text>
    </comment>
    <comment ref="F764" authorId="1">
      <text>
        <r>
          <rPr>
            <sz val="11"/>
            <color theme="1"/>
            <rFont val="Calibri"/>
            <family val="2"/>
            <scheme val="minor"/>
          </rPr>
          <t>Introduzca el código SNIP</t>
        </r>
      </text>
    </comment>
    <comment ref="C765" authorId="1">
      <text>
        <r>
          <rPr>
            <sz val="11"/>
            <color theme="1"/>
            <rFont val="Calibri"/>
            <family val="2"/>
            <scheme val="minor"/>
          </rPr>
          <t>Introduzca la fecha de inicio del proceso, en formato dd-mm-aaaa</t>
        </r>
      </text>
    </comment>
    <comment ref="F765" authorId="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66" authorId="1">
      <text/>
    </comment>
    <comment ref="C767" authorId="1">
      <text>
        <r>
          <rPr>
            <sz val="11"/>
            <color theme="1"/>
            <rFont val="Calibri"/>
            <family val="2"/>
            <scheme val="minor"/>
          </rPr>
          <t>Introduzca la fecha prevista de adjudicación, en formato dd-mm-aaaa</t>
        </r>
      </text>
    </comment>
    <comment ref="F767" authorId="1">
      <text/>
    </comment>
    <comment ref="F768" authorId="1">
      <text/>
    </comment>
    <comment ref="A770" authorId="1">
      <text>
        <r>
          <rPr>
            <sz val="11"/>
            <color theme="1"/>
            <rFont val="Calibri"/>
            <family val="2"/>
            <scheme val="minor"/>
          </rPr>
          <t>Introduzca un codigo UNSPSC</t>
        </r>
      </text>
    </comment>
    <comment ref="B770" authorId="1">
      <text>
        <r>
          <rPr>
            <sz val="11"/>
            <color theme="1"/>
            <rFont val="Calibri"/>
            <family val="2"/>
            <scheme val="minor"/>
          </rPr>
          <t>Descripción calculada automáticamente a partir de código del artículo</t>
        </r>
      </text>
    </comment>
    <comment ref="C770" authorId="1">
      <text>
        <r>
          <rPr>
            <sz val="11"/>
            <color theme="1"/>
            <rFont val="Calibri"/>
            <family val="2"/>
            <scheme val="minor"/>
          </rPr>
          <t>Seleccione un valor de la lista</t>
        </r>
      </text>
    </comment>
    <comment ref="D770" authorId="1">
      <text>
        <r>
          <rPr>
            <sz val="11"/>
            <color theme="1"/>
            <rFont val="Calibri"/>
            <family val="2"/>
            <scheme val="minor"/>
          </rPr>
          <t>Introduzca un número con dos decimales como máximo. Debe ser igual o mayor a la "Cantidad Real Consumida"</t>
        </r>
      </text>
    </comment>
    <comment ref="E770" authorId="1">
      <text>
        <r>
          <rPr>
            <sz val="11"/>
            <color theme="1"/>
            <rFont val="Calibri"/>
            <family val="2"/>
            <scheme val="minor"/>
          </rPr>
          <t>Introduzca un número con dos decimales como máximo</t>
        </r>
      </text>
    </comment>
    <comment ref="F770" authorId="1">
      <text>
        <r>
          <rPr>
            <sz val="11"/>
            <color theme="1"/>
            <rFont val="Calibri"/>
            <family val="2"/>
            <scheme val="minor"/>
          </rPr>
          <t>Monto calculado automáticamente por el sistema</t>
        </r>
      </text>
    </comment>
    <comment ref="A775" authorId="1">
      <text>
        <r>
          <rPr>
            <sz val="11"/>
            <color theme="1"/>
            <rFont val="Calibri"/>
            <family val="2"/>
            <scheme val="minor"/>
          </rPr>
          <t>Introducir un texto con el nombre o referencia de la contratación</t>
        </r>
      </text>
    </comment>
    <comment ref="B775" authorId="1">
      <text>
        <r>
          <rPr>
            <sz val="11"/>
            <color theme="1"/>
            <rFont val="Calibri"/>
            <family val="2"/>
            <scheme val="minor"/>
          </rPr>
          <t>Introduzca un texto con la finalidad de la contratación</t>
        </r>
      </text>
    </comment>
    <comment ref="C775" authorId="1">
      <text>
        <r>
          <rPr>
            <sz val="11"/>
            <color theme="1"/>
            <rFont val="Calibri"/>
            <family val="2"/>
            <scheme val="minor"/>
          </rPr>
          <t>Seleccionar un valor del listado</t>
        </r>
      </text>
    </comment>
    <comment ref="D775" authorId="1">
      <text>
        <r>
          <rPr>
            <sz val="11"/>
            <color theme="1"/>
            <rFont val="Calibri"/>
            <family val="2"/>
            <scheme val="minor"/>
          </rPr>
          <t>Seleccione el tipo de procedimiento</t>
        </r>
      </text>
    </comment>
    <comment ref="E775" authorId="1">
      <text>
        <r>
          <rPr>
            <sz val="11"/>
            <color theme="1"/>
            <rFont val="Calibri"/>
            <family val="2"/>
            <scheme val="minor"/>
          </rPr>
          <t>Seleccione un valor de la lista</t>
        </r>
      </text>
    </comment>
    <comment ref="F775" authorId="1">
      <text>
        <r>
          <rPr>
            <sz val="11"/>
            <color theme="1"/>
            <rFont val="Calibri"/>
            <family val="2"/>
            <scheme val="minor"/>
          </rPr>
          <t>Introduzca el código SNIP</t>
        </r>
      </text>
    </comment>
    <comment ref="C776" authorId="1">
      <text>
        <r>
          <rPr>
            <sz val="11"/>
            <color theme="1"/>
            <rFont val="Calibri"/>
            <family val="2"/>
            <scheme val="minor"/>
          </rPr>
          <t>Introduzca la fecha de inicio del proceso, en formato dd-mm-aaaa</t>
        </r>
      </text>
    </comment>
    <comment ref="F776" authorId="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77" authorId="1">
      <text/>
    </comment>
    <comment ref="C778" authorId="1">
      <text>
        <r>
          <rPr>
            <sz val="11"/>
            <color theme="1"/>
            <rFont val="Calibri"/>
            <family val="2"/>
            <scheme val="minor"/>
          </rPr>
          <t>Introduzca la fecha prevista de adjudicación, en formato dd-mm-aaaa</t>
        </r>
      </text>
    </comment>
    <comment ref="F778" authorId="1">
      <text/>
    </comment>
    <comment ref="F779" authorId="1">
      <text/>
    </comment>
    <comment ref="A781" authorId="1">
      <text>
        <r>
          <rPr>
            <sz val="11"/>
            <color theme="1"/>
            <rFont val="Calibri"/>
            <family val="2"/>
            <scheme val="minor"/>
          </rPr>
          <t>Introduzca un codigo UNSPSC</t>
        </r>
      </text>
    </comment>
    <comment ref="B781" authorId="1">
      <text>
        <r>
          <rPr>
            <sz val="11"/>
            <color theme="1"/>
            <rFont val="Calibri"/>
            <family val="2"/>
            <scheme val="minor"/>
          </rPr>
          <t>Descripción calculada automáticamente a partir de código del artículo</t>
        </r>
      </text>
    </comment>
    <comment ref="C781" authorId="1">
      <text>
        <r>
          <rPr>
            <sz val="11"/>
            <color theme="1"/>
            <rFont val="Calibri"/>
            <family val="2"/>
            <scheme val="minor"/>
          </rPr>
          <t>Seleccione un valor de la lista</t>
        </r>
      </text>
    </comment>
    <comment ref="D781" authorId="1">
      <text>
        <r>
          <rPr>
            <sz val="11"/>
            <color theme="1"/>
            <rFont val="Calibri"/>
            <family val="2"/>
            <scheme val="minor"/>
          </rPr>
          <t>Introduzca un número con dos decimales como máximo. Debe ser igual o mayor a la "Cantidad Real Consumida"</t>
        </r>
      </text>
    </comment>
    <comment ref="E781" authorId="1">
      <text>
        <r>
          <rPr>
            <sz val="11"/>
            <color theme="1"/>
            <rFont val="Calibri"/>
            <family val="2"/>
            <scheme val="minor"/>
          </rPr>
          <t>Introduzca un número con dos decimales como máximo</t>
        </r>
      </text>
    </comment>
    <comment ref="F781" authorId="1">
      <text>
        <r>
          <rPr>
            <sz val="11"/>
            <color theme="1"/>
            <rFont val="Calibri"/>
            <family val="2"/>
            <scheme val="minor"/>
          </rPr>
          <t>Monto calculado automáticamente por el sistema</t>
        </r>
      </text>
    </comment>
    <comment ref="A786" authorId="1">
      <text>
        <r>
          <rPr>
            <sz val="11"/>
            <color theme="1"/>
            <rFont val="Calibri"/>
            <family val="2"/>
            <scheme val="minor"/>
          </rPr>
          <t>Introducir un texto con el nombre o referencia de la contratación</t>
        </r>
      </text>
    </comment>
    <comment ref="B786" authorId="1">
      <text>
        <r>
          <rPr>
            <sz val="11"/>
            <color theme="1"/>
            <rFont val="Calibri"/>
            <family val="2"/>
            <scheme val="minor"/>
          </rPr>
          <t>Introduzca un texto con la finalidad de la contratación</t>
        </r>
      </text>
    </comment>
    <comment ref="C786" authorId="1">
      <text>
        <r>
          <rPr>
            <sz val="11"/>
            <color theme="1"/>
            <rFont val="Calibri"/>
            <family val="2"/>
            <scheme val="minor"/>
          </rPr>
          <t>Seleccionar un valor del listado</t>
        </r>
      </text>
    </comment>
    <comment ref="D786" authorId="1">
      <text>
        <r>
          <rPr>
            <sz val="11"/>
            <color theme="1"/>
            <rFont val="Calibri"/>
            <family val="2"/>
            <scheme val="minor"/>
          </rPr>
          <t>Seleccione el tipo de procedimiento</t>
        </r>
      </text>
    </comment>
    <comment ref="E786" authorId="1">
      <text>
        <r>
          <rPr>
            <sz val="11"/>
            <color theme="1"/>
            <rFont val="Calibri"/>
            <family val="2"/>
            <scheme val="minor"/>
          </rPr>
          <t>Seleccione un valor de la lista</t>
        </r>
      </text>
    </comment>
    <comment ref="F786" authorId="1">
      <text>
        <r>
          <rPr>
            <sz val="11"/>
            <color theme="1"/>
            <rFont val="Calibri"/>
            <family val="2"/>
            <scheme val="minor"/>
          </rPr>
          <t>Introduzca el código SNIP</t>
        </r>
      </text>
    </comment>
    <comment ref="C787" authorId="1">
      <text>
        <r>
          <rPr>
            <sz val="11"/>
            <color theme="1"/>
            <rFont val="Calibri"/>
            <family val="2"/>
            <scheme val="minor"/>
          </rPr>
          <t>Introduzca la fecha de inicio del proceso, en formato dd-mm-aaaa</t>
        </r>
      </text>
    </comment>
    <comment ref="F787" authorId="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88" authorId="1">
      <text/>
    </comment>
    <comment ref="C789" authorId="1">
      <text>
        <r>
          <rPr>
            <sz val="11"/>
            <color theme="1"/>
            <rFont val="Calibri"/>
            <family val="2"/>
            <scheme val="minor"/>
          </rPr>
          <t>Introduzca la fecha prevista de adjudicación, en formato dd-mm-aaaa</t>
        </r>
      </text>
    </comment>
    <comment ref="F789" authorId="1">
      <text/>
    </comment>
    <comment ref="F790" authorId="1">
      <text/>
    </comment>
    <comment ref="A792" authorId="1">
      <text>
        <r>
          <rPr>
            <sz val="11"/>
            <color theme="1"/>
            <rFont val="Calibri"/>
            <family val="2"/>
            <scheme val="minor"/>
          </rPr>
          <t>Introduzca un codigo UNSPSC</t>
        </r>
      </text>
    </comment>
    <comment ref="B792" authorId="1">
      <text>
        <r>
          <rPr>
            <sz val="11"/>
            <color theme="1"/>
            <rFont val="Calibri"/>
            <family val="2"/>
            <scheme val="minor"/>
          </rPr>
          <t>Descripción calculada automáticamente a partir de código del artículo</t>
        </r>
      </text>
    </comment>
    <comment ref="C792" authorId="1">
      <text>
        <r>
          <rPr>
            <sz val="11"/>
            <color theme="1"/>
            <rFont val="Calibri"/>
            <family val="2"/>
            <scheme val="minor"/>
          </rPr>
          <t>Seleccione un valor de la lista</t>
        </r>
      </text>
    </comment>
    <comment ref="D792" authorId="1">
      <text>
        <r>
          <rPr>
            <sz val="11"/>
            <color theme="1"/>
            <rFont val="Calibri"/>
            <family val="2"/>
            <scheme val="minor"/>
          </rPr>
          <t>Introduzca un número con dos decimales como máximo. Debe ser igual o mayor a la "Cantidad Real Consumida"</t>
        </r>
      </text>
    </comment>
    <comment ref="E792" authorId="1">
      <text>
        <r>
          <rPr>
            <sz val="11"/>
            <color theme="1"/>
            <rFont val="Calibri"/>
            <family val="2"/>
            <scheme val="minor"/>
          </rPr>
          <t>Introduzca un número con dos decimales como máximo</t>
        </r>
      </text>
    </comment>
    <comment ref="F792" authorId="1">
      <text>
        <r>
          <rPr>
            <sz val="11"/>
            <color theme="1"/>
            <rFont val="Calibri"/>
            <family val="2"/>
            <scheme val="minor"/>
          </rPr>
          <t>Monto calculado automáticamente por el sistema</t>
        </r>
      </text>
    </comment>
    <comment ref="A800" authorId="1">
      <text>
        <r>
          <rPr>
            <sz val="11"/>
            <color theme="1"/>
            <rFont val="Calibri"/>
            <family val="2"/>
            <scheme val="minor"/>
          </rPr>
          <t>Introducir un texto con el nombre o referencia de la contratación</t>
        </r>
      </text>
    </comment>
    <comment ref="B800" authorId="1">
      <text>
        <r>
          <rPr>
            <sz val="11"/>
            <color theme="1"/>
            <rFont val="Calibri"/>
            <family val="2"/>
            <scheme val="minor"/>
          </rPr>
          <t>Introduzca un texto con la finalidad de la contratación</t>
        </r>
      </text>
    </comment>
    <comment ref="C800" authorId="1">
      <text>
        <r>
          <rPr>
            <sz val="11"/>
            <color theme="1"/>
            <rFont val="Calibri"/>
            <family val="2"/>
            <scheme val="minor"/>
          </rPr>
          <t>Seleccionar un valor del listado</t>
        </r>
      </text>
    </comment>
    <comment ref="D800" authorId="1">
      <text>
        <r>
          <rPr>
            <sz val="11"/>
            <color theme="1"/>
            <rFont val="Calibri"/>
            <family val="2"/>
            <scheme val="minor"/>
          </rPr>
          <t>Seleccione el tipo de procedimiento</t>
        </r>
      </text>
    </comment>
    <comment ref="E800" authorId="1">
      <text>
        <r>
          <rPr>
            <sz val="11"/>
            <color theme="1"/>
            <rFont val="Calibri"/>
            <family val="2"/>
            <scheme val="minor"/>
          </rPr>
          <t>Seleccione un valor de la lista</t>
        </r>
      </text>
    </comment>
    <comment ref="F800" authorId="1">
      <text>
        <r>
          <rPr>
            <sz val="11"/>
            <color theme="1"/>
            <rFont val="Calibri"/>
            <family val="2"/>
            <scheme val="minor"/>
          </rPr>
          <t>Introduzca el código SNIP</t>
        </r>
      </text>
    </comment>
    <comment ref="C801" authorId="1">
      <text>
        <r>
          <rPr>
            <sz val="11"/>
            <color theme="1"/>
            <rFont val="Calibri"/>
            <family val="2"/>
            <scheme val="minor"/>
          </rPr>
          <t>Introduzca la fecha de inicio del proceso, en formato dd-mm-aaaa</t>
        </r>
      </text>
    </comment>
    <comment ref="F801" authorId="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02" authorId="1">
      <text/>
    </comment>
    <comment ref="C803" authorId="1">
      <text>
        <r>
          <rPr>
            <sz val="11"/>
            <color theme="1"/>
            <rFont val="Calibri"/>
            <family val="2"/>
            <scheme val="minor"/>
          </rPr>
          <t>Introduzca la fecha prevista de adjudicación, en formato dd-mm-aaaa</t>
        </r>
      </text>
    </comment>
    <comment ref="F803" authorId="1">
      <text/>
    </comment>
    <comment ref="F804" authorId="1">
      <text/>
    </comment>
    <comment ref="A806" authorId="1">
      <text>
        <r>
          <rPr>
            <sz val="11"/>
            <color theme="1"/>
            <rFont val="Calibri"/>
            <family val="2"/>
            <scheme val="minor"/>
          </rPr>
          <t>Introduzca un codigo UNSPSC</t>
        </r>
      </text>
    </comment>
    <comment ref="B806" authorId="1">
      <text>
        <r>
          <rPr>
            <sz val="11"/>
            <color theme="1"/>
            <rFont val="Calibri"/>
            <family val="2"/>
            <scheme val="minor"/>
          </rPr>
          <t>Descripción calculada automáticamente a partir de código del artículo</t>
        </r>
      </text>
    </comment>
    <comment ref="C806" authorId="1">
      <text>
        <r>
          <rPr>
            <sz val="11"/>
            <color theme="1"/>
            <rFont val="Calibri"/>
            <family val="2"/>
            <scheme val="minor"/>
          </rPr>
          <t>Seleccione un valor de la lista</t>
        </r>
      </text>
    </comment>
    <comment ref="D806" authorId="1">
      <text>
        <r>
          <rPr>
            <sz val="11"/>
            <color theme="1"/>
            <rFont val="Calibri"/>
            <family val="2"/>
            <scheme val="minor"/>
          </rPr>
          <t>Introduzca un número con dos decimales como máximo. Debe ser igual o mayor a la "Cantidad Real Consumida"</t>
        </r>
      </text>
    </comment>
    <comment ref="E806" authorId="1">
      <text>
        <r>
          <rPr>
            <sz val="11"/>
            <color theme="1"/>
            <rFont val="Calibri"/>
            <family val="2"/>
            <scheme val="minor"/>
          </rPr>
          <t>Introduzca un número con dos decimales como máximo</t>
        </r>
      </text>
    </comment>
    <comment ref="F806" authorId="1">
      <text>
        <r>
          <rPr>
            <sz val="11"/>
            <color theme="1"/>
            <rFont val="Calibri"/>
            <family val="2"/>
            <scheme val="minor"/>
          </rPr>
          <t>Monto calculado automáticamente por el sistema</t>
        </r>
      </text>
    </comment>
  </commentList>
</comments>
</file>

<file path=xl/comments2.xml><?xml version="1.0" encoding="utf-8"?>
<comments xmlns="http://schemas.openxmlformats.org/spreadsheetml/2006/main">
  <authors>
    <author>mcorreia</author>
  </authors>
  <commentList>
    <comment ref="A2" authorId="0">
      <text>
        <r>
          <rPr>
            <sz val="11"/>
            <color theme="1"/>
            <rFont val="Calibri"/>
            <family val="2"/>
            <scheme val="minor"/>
          </rPr>
          <t>Introducir un texto con el nombre o referencia de la contratación</t>
        </r>
      </text>
    </comment>
    <comment ref="B2" authorId="0">
      <text>
        <r>
          <rPr>
            <sz val="11"/>
            <color theme="1"/>
            <rFont val="Calibri"/>
            <family val="2"/>
            <scheme val="minor"/>
          </rPr>
          <t>Introduzca un texto con la finalidad de la contratación</t>
        </r>
      </text>
    </comment>
    <comment ref="C2" authorId="0">
      <text>
        <r>
          <rPr>
            <sz val="11"/>
            <color theme="1"/>
            <rFont val="Calibri"/>
            <family val="2"/>
            <scheme val="minor"/>
          </rPr>
          <t>Seleccionar un valor del listado</t>
        </r>
      </text>
    </comment>
    <comment ref="D2" authorId="0">
      <text>
        <r>
          <rPr>
            <sz val="11"/>
            <color theme="1"/>
            <rFont val="Calibri"/>
            <family val="2"/>
            <scheme val="minor"/>
          </rPr>
          <t>Seleccione el tipo de procedimiento</t>
        </r>
      </text>
    </comment>
    <comment ref="E2" authorId="0">
      <text>
        <r>
          <rPr>
            <sz val="11"/>
            <color theme="1"/>
            <rFont val="Calibri"/>
            <family val="2"/>
            <scheme val="minor"/>
          </rPr>
          <t>Seleccione un valor de la lista</t>
        </r>
      </text>
    </comment>
    <comment ref="F2" authorId="0">
      <text>
        <r>
          <rPr>
            <sz val="11"/>
            <color theme="1"/>
            <rFont val="Calibri"/>
            <family val="2"/>
            <scheme val="minor"/>
          </rPr>
          <t>Introduzca el código SNIP</t>
        </r>
      </text>
    </comment>
    <comment ref="C3" authorId="0">
      <text>
        <r>
          <rPr>
            <sz val="11"/>
            <color theme="1"/>
            <rFont val="Calibri"/>
            <family val="2"/>
            <scheme val="minor"/>
          </rPr>
          <t>Introduzca la fecha de inicio del proceso, en formato dd-mm-aaaa</t>
        </r>
      </text>
    </comment>
    <comment ref="F3" author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 authorId="0">
      <text/>
    </comment>
    <comment ref="C5" authorId="0">
      <text>
        <r>
          <rPr>
            <sz val="11"/>
            <color theme="1"/>
            <rFont val="Calibri"/>
            <family val="2"/>
            <scheme val="minor"/>
          </rPr>
          <t>Introduzca la fecha prevista de adjudicación, en formato dd-mm-aaaa</t>
        </r>
      </text>
    </comment>
    <comment ref="F5" authorId="0">
      <text/>
    </comment>
    <comment ref="F6" authorId="0">
      <text/>
    </comment>
    <comment ref="A8" authorId="0">
      <text>
        <r>
          <rPr>
            <sz val="11"/>
            <color theme="1"/>
            <rFont val="Calibri"/>
            <family val="2"/>
            <scheme val="minor"/>
          </rPr>
          <t>Introduzca un codigo UNSPSC</t>
        </r>
      </text>
    </comment>
    <comment ref="B8" authorId="0">
      <text>
        <r>
          <rPr>
            <sz val="11"/>
            <color theme="1"/>
            <rFont val="Calibri"/>
            <family val="2"/>
            <scheme val="minor"/>
          </rPr>
          <t>Descripción calculada automáticamente a partir de código del artículo</t>
        </r>
      </text>
    </comment>
    <comment ref="C8" authorId="0">
      <text>
        <r>
          <rPr>
            <sz val="11"/>
            <color theme="1"/>
            <rFont val="Calibri"/>
            <family val="2"/>
            <scheme val="minor"/>
          </rPr>
          <t>Seleccione un valor de la lista</t>
        </r>
      </text>
    </comment>
    <comment ref="D8" authorId="0">
      <text>
        <r>
          <rPr>
            <sz val="11"/>
            <color theme="1"/>
            <rFont val="Calibri"/>
            <family val="2"/>
            <scheme val="minor"/>
          </rPr>
          <t>Introduzca un número con dos decimales como máximo. Debe ser igual o mayor a la "Cantidad Real Consumida"</t>
        </r>
      </text>
    </comment>
    <comment ref="E8" authorId="0">
      <text>
        <r>
          <rPr>
            <sz val="11"/>
            <color theme="1"/>
            <rFont val="Calibri"/>
            <family val="2"/>
            <scheme val="minor"/>
          </rPr>
          <t>Introduzca un número con dos decimales como máximo</t>
        </r>
      </text>
    </comment>
    <comment ref="F8" authorId="0">
      <text>
        <r>
          <rPr>
            <sz val="11"/>
            <color theme="1"/>
            <rFont val="Calibri"/>
            <family val="2"/>
            <scheme val="minor"/>
          </rPr>
          <t>Monto calculado automáticamente por el sistema</t>
        </r>
      </text>
    </comment>
  </commentList>
</comments>
</file>

<file path=xl/sharedStrings.xml><?xml version="1.0" encoding="utf-8"?>
<sst xmlns="http://schemas.openxmlformats.org/spreadsheetml/2006/main" count="3828" uniqueCount="858">
  <si>
    <t>Cevicos</t>
  </si>
  <si>
    <t>Cayetano Germosén</t>
  </si>
  <si>
    <t>Azua de Compostela</t>
  </si>
  <si>
    <t>Pantoja</t>
  </si>
  <si>
    <t xml:space="preserve">Aquisición Frutas y Vegetales para las especies </t>
  </si>
  <si>
    <t>Subasta Inversa</t>
  </si>
  <si>
    <t>50121539</t>
  </si>
  <si>
    <t>FINALIDAD DE LA CONTRATACIÓN</t>
  </si>
  <si>
    <t>El Caimito</t>
  </si>
  <si>
    <t>27112001</t>
  </si>
  <si>
    <t>Pescados y Mariscos frescos</t>
  </si>
  <si>
    <t>M</t>
  </si>
  <si>
    <t>53131626</t>
  </si>
  <si>
    <t>Rancho Arriba</t>
  </si>
  <si>
    <t>Decena</t>
  </si>
  <si>
    <t>41111723</t>
  </si>
  <si>
    <t>Yaguate</t>
  </si>
  <si>
    <t>La Sabina</t>
  </si>
  <si>
    <t>45101505</t>
  </si>
  <si>
    <t>Guananico</t>
  </si>
  <si>
    <t>La Altagracia</t>
  </si>
  <si>
    <t>44111509</t>
  </si>
  <si>
    <t>Pescadería</t>
  </si>
  <si>
    <t>Mamá Tingó</t>
  </si>
  <si>
    <t>60131509</t>
  </si>
  <si>
    <t>27111509</t>
  </si>
  <si>
    <t>Semana</t>
  </si>
  <si>
    <t xml:space="preserve">Proveer de los equipos necesarios a las distintas oficinas de la institución. </t>
  </si>
  <si>
    <t>El Aguacate</t>
  </si>
  <si>
    <t>Padre Las Casas</t>
  </si>
  <si>
    <t>60121234</t>
  </si>
  <si>
    <t>Santana</t>
  </si>
  <si>
    <t>56101528</t>
  </si>
  <si>
    <t>Canoa</t>
  </si>
  <si>
    <t>Partido</t>
  </si>
  <si>
    <t>Los Hidalgos</t>
  </si>
  <si>
    <t>Arroyo Salado</t>
  </si>
  <si>
    <t>Reparación y mantenimiento de vehículos</t>
  </si>
  <si>
    <t>MUNICIPIOS</t>
  </si>
  <si>
    <t>47131615</t>
  </si>
  <si>
    <t>Comedero Arriba</t>
  </si>
  <si>
    <t>La Vega</t>
  </si>
  <si>
    <t>M3</t>
  </si>
  <si>
    <t>REGION</t>
  </si>
  <si>
    <t>44122003</t>
  </si>
  <si>
    <t>Santa Cruz de Mao</t>
  </si>
  <si>
    <t>53131608</t>
  </si>
  <si>
    <t>Gina</t>
  </si>
  <si>
    <t>Docena</t>
  </si>
  <si>
    <t>Guayabo Dulce</t>
  </si>
  <si>
    <t>Villa Riva</t>
  </si>
  <si>
    <t xml:space="preserve">PLAN ANUAL DE COMPRAS Y CONTRATACIONES 
</t>
  </si>
  <si>
    <t>Vicente Noble</t>
  </si>
  <si>
    <t>Villa Magante</t>
  </si>
  <si>
    <t>Unidad</t>
  </si>
  <si>
    <t>CIBAO NOROESTE</t>
  </si>
  <si>
    <t>Restauración</t>
  </si>
  <si>
    <t>Santa Bárbara de Samaná</t>
  </si>
  <si>
    <t>40151501</t>
  </si>
  <si>
    <t>Mantener las especies en exhibición en buen cuidado y alimentación.</t>
  </si>
  <si>
    <t>Para repoblar las exhibiciones de las distintas áreas del Acuario Nacional</t>
  </si>
  <si>
    <t>Santiago de la Cruz</t>
  </si>
  <si>
    <t>Milla</t>
  </si>
  <si>
    <t>Villa Montellano</t>
  </si>
  <si>
    <t>LB</t>
  </si>
  <si>
    <t>Caleta</t>
  </si>
  <si>
    <t>45111602</t>
  </si>
  <si>
    <t>Jánico</t>
  </si>
  <si>
    <t>El Higuerito</t>
  </si>
  <si>
    <t>Pulgada cuadrada</t>
  </si>
  <si>
    <t>CIBAO NORTE</t>
  </si>
  <si>
    <t>Quintal</t>
  </si>
  <si>
    <t>TRIMESTRE</t>
  </si>
  <si>
    <t>Cotuí</t>
  </si>
  <si>
    <t>Comparacion de Precios</t>
  </si>
  <si>
    <t>40142604</t>
  </si>
  <si>
    <t>Día</t>
  </si>
  <si>
    <t>45121512</t>
  </si>
  <si>
    <t>25101602</t>
  </si>
  <si>
    <t>Carrera de Yeguas</t>
  </si>
  <si>
    <t>Las Cañitas, Elupina Cordero</t>
  </si>
  <si>
    <t>San José de Ocoa</t>
  </si>
  <si>
    <t>Caballero</t>
  </si>
  <si>
    <t>Pueblo Viejo</t>
  </si>
  <si>
    <t>39121409</t>
  </si>
  <si>
    <t>Sosúa</t>
  </si>
  <si>
    <t>Río Limpio</t>
  </si>
  <si>
    <t>47131605</t>
  </si>
  <si>
    <t>27112114</t>
  </si>
  <si>
    <t>44121708</t>
  </si>
  <si>
    <t>Guayabal</t>
  </si>
  <si>
    <t>Provincia</t>
  </si>
  <si>
    <t>31201519</t>
  </si>
  <si>
    <t>53111501</t>
  </si>
  <si>
    <t>Elías Piña</t>
  </si>
  <si>
    <t>Licitacion Publica</t>
  </si>
  <si>
    <t>Provee del combustibles necesario para las plantas Electricas, vehículos y maquinarias de trabajos del Acuario Nacional.</t>
  </si>
  <si>
    <t>39121303</t>
  </si>
  <si>
    <t>Castillo</t>
  </si>
  <si>
    <t>39101617</t>
  </si>
  <si>
    <t>Las Coles</t>
  </si>
  <si>
    <t>Monseñor Nouel</t>
  </si>
  <si>
    <t>11162126</t>
  </si>
  <si>
    <t>39121529</t>
  </si>
  <si>
    <t>Medina</t>
  </si>
  <si>
    <t>73121805</t>
  </si>
  <si>
    <t>Villa Hermosa</t>
  </si>
  <si>
    <t>Barahona</t>
  </si>
  <si>
    <t>73151701</t>
  </si>
  <si>
    <t>María Trinidad Sánchez</t>
  </si>
  <si>
    <t>14111806</t>
  </si>
  <si>
    <t>Hato Viejo</t>
  </si>
  <si>
    <t>Los Patos</t>
  </si>
  <si>
    <t>Las Maguanas, Hato Nuevo</t>
  </si>
  <si>
    <t>41121813</t>
  </si>
  <si>
    <t>Villa Bisonó (Navarrete)</t>
  </si>
  <si>
    <t>Manabao</t>
  </si>
  <si>
    <t>Las Lagunas</t>
  </si>
  <si>
    <t>La Colonia</t>
  </si>
  <si>
    <t>26111701</t>
  </si>
  <si>
    <t>26111702</t>
  </si>
  <si>
    <t>Municipio</t>
  </si>
  <si>
    <t>OZAMA O METROPOLITANA</t>
  </si>
  <si>
    <t>31162403</t>
  </si>
  <si>
    <t>El Factor</t>
  </si>
  <si>
    <t>CIBAO NORDESTE</t>
  </si>
  <si>
    <t>Para uso oficinas administrativas y técnicas</t>
  </si>
  <si>
    <t>El Valle</t>
  </si>
  <si>
    <t>46171610</t>
  </si>
  <si>
    <t>Boca de Mao</t>
  </si>
  <si>
    <t>46181522</t>
  </si>
  <si>
    <t>Jamao al Norte</t>
  </si>
  <si>
    <t>32101637</t>
  </si>
  <si>
    <t>La Victoria</t>
  </si>
  <si>
    <t>Arroyo al Medio</t>
  </si>
  <si>
    <t xml:space="preserve">Año Fiscal </t>
  </si>
  <si>
    <t>San Juan</t>
  </si>
  <si>
    <t>60141001</t>
  </si>
  <si>
    <t>Fecha Aprobación</t>
  </si>
  <si>
    <t>San José del Puerto</t>
  </si>
  <si>
    <t>Cristo Rey de Guaraguao</t>
  </si>
  <si>
    <t>Guaymate</t>
  </si>
  <si>
    <t>43201403</t>
  </si>
  <si>
    <t>Hato Mayor del Rey</t>
  </si>
  <si>
    <t>El Llano</t>
  </si>
  <si>
    <t>San Fco. de Macorís</t>
  </si>
  <si>
    <t>Mantener el Auditorio en buen estado para las visitas diaria.</t>
  </si>
  <si>
    <t>El Rosario</t>
  </si>
  <si>
    <t>44101602</t>
  </si>
  <si>
    <t>31211604</t>
  </si>
  <si>
    <t>Santiago de los Caballeros</t>
  </si>
  <si>
    <t>39101801</t>
  </si>
  <si>
    <t>Maizal</t>
  </si>
  <si>
    <t>Q</t>
  </si>
  <si>
    <t xml:space="preserve">Lubricantes para las plantas eléctricas </t>
  </si>
  <si>
    <t>H</t>
  </si>
  <si>
    <t>L</t>
  </si>
  <si>
    <t>G</t>
  </si>
  <si>
    <t>Cantidad Procesos Registrados</t>
  </si>
  <si>
    <t>Pie cuadrado</t>
  </si>
  <si>
    <t>Excepción - Bienes o servicios con exclusividad</t>
  </si>
  <si>
    <t>Canca la Reina</t>
  </si>
  <si>
    <t>Barreras</t>
  </si>
  <si>
    <t>Los Jovillos</t>
  </si>
  <si>
    <t>Santa Lucía</t>
  </si>
  <si>
    <t>San Rafael del Yuma</t>
  </si>
  <si>
    <t>43191606</t>
  </si>
  <si>
    <t>11162108</t>
  </si>
  <si>
    <t>Hatillo Palma</t>
  </si>
  <si>
    <t>Sabana Grande de Hostos</t>
  </si>
  <si>
    <t>Luperón</t>
  </si>
  <si>
    <t>Pepillo Salcedo</t>
  </si>
  <si>
    <t>Platanal</t>
  </si>
  <si>
    <t>44122018</t>
  </si>
  <si>
    <t>TON</t>
  </si>
  <si>
    <t>27112004</t>
  </si>
  <si>
    <t>31151504</t>
  </si>
  <si>
    <t>46171505</t>
  </si>
  <si>
    <t>YD</t>
  </si>
  <si>
    <t>Proyecto 2-C</t>
  </si>
  <si>
    <t>Las Salinas</t>
  </si>
  <si>
    <t>UD</t>
  </si>
  <si>
    <t>Sabana Iglesia</t>
  </si>
  <si>
    <t>Excepción - Contratación de publicidad a través de medios de comunicación social</t>
  </si>
  <si>
    <t>Guanito</t>
  </si>
  <si>
    <t>47131604</t>
  </si>
  <si>
    <t>Cabarete</t>
  </si>
  <si>
    <t>Amiama Gómez</t>
  </si>
  <si>
    <t>M2</t>
  </si>
  <si>
    <t>Las Gordas</t>
  </si>
  <si>
    <t>44111515</t>
  </si>
  <si>
    <t>43222612</t>
  </si>
  <si>
    <t>Yamasá</t>
  </si>
  <si>
    <t>Polo</t>
  </si>
  <si>
    <t>15101505</t>
  </si>
  <si>
    <t>Santo Domingo Este</t>
  </si>
  <si>
    <t>24111503</t>
  </si>
  <si>
    <t>Santo Domingo Oeste</t>
  </si>
  <si>
    <t>Juan López</t>
  </si>
  <si>
    <t>Hora</t>
  </si>
  <si>
    <t>70101510</t>
  </si>
  <si>
    <t>La Jagua</t>
  </si>
  <si>
    <t>PROVINCIA</t>
  </si>
  <si>
    <t>Paquete</t>
  </si>
  <si>
    <t>Guerra</t>
  </si>
  <si>
    <t>47131829</t>
  </si>
  <si>
    <t>Pimentel</t>
  </si>
  <si>
    <t>14111704</t>
  </si>
  <si>
    <t>KM</t>
  </si>
  <si>
    <t>MM</t>
  </si>
  <si>
    <t>CM</t>
  </si>
  <si>
    <t>Moca</t>
  </si>
  <si>
    <t>Matanzas</t>
  </si>
  <si>
    <t>15121501</t>
  </si>
  <si>
    <t>10101808</t>
  </si>
  <si>
    <t>FT2</t>
  </si>
  <si>
    <t>FT3</t>
  </si>
  <si>
    <t>39121011</t>
  </si>
  <si>
    <t>El Cachón</t>
  </si>
  <si>
    <t>Millar</t>
  </si>
  <si>
    <t>Desc.</t>
  </si>
  <si>
    <t xml:space="preserve">Proveer del combustibles necesario para maquinarias y vehículos de trabajos de la institución. </t>
  </si>
  <si>
    <t>Peravia</t>
  </si>
  <si>
    <t>11162124</t>
  </si>
  <si>
    <t>PAQ</t>
  </si>
  <si>
    <t>Tenares</t>
  </si>
  <si>
    <t xml:space="preserve">Capítulo </t>
  </si>
  <si>
    <t>Sabana Higüero</t>
  </si>
  <si>
    <t>Hora Hombre</t>
  </si>
  <si>
    <t>53131624</t>
  </si>
  <si>
    <t>Sabaneta de Yásica</t>
  </si>
  <si>
    <t>Juan Adrián</t>
  </si>
  <si>
    <t>40142613</t>
  </si>
  <si>
    <t>Jamao Afuera</t>
  </si>
  <si>
    <t>Materiales Gastables y equipo para las oficinas</t>
  </si>
  <si>
    <t>Samaná</t>
  </si>
  <si>
    <t>CAJ</t>
  </si>
  <si>
    <t>Naranjal</t>
  </si>
  <si>
    <t>MUNICIPIO</t>
  </si>
  <si>
    <t xml:space="preserve">Combustibles para maquinarias y vehículos de trabajos de la institución. </t>
  </si>
  <si>
    <t>GAL</t>
  </si>
  <si>
    <t>43202205</t>
  </si>
  <si>
    <t>Jaquimeyes</t>
  </si>
  <si>
    <t>José Contreras</t>
  </si>
  <si>
    <t>Materiales de Ferretería para trabajos varios</t>
  </si>
  <si>
    <t>El Puerto</t>
  </si>
  <si>
    <t>Barro Arriba</t>
  </si>
  <si>
    <t>Jimaní</t>
  </si>
  <si>
    <t>Bahoruco</t>
  </si>
  <si>
    <t>Tamayo</t>
  </si>
  <si>
    <t>12141911</t>
  </si>
  <si>
    <t>60121152</t>
  </si>
  <si>
    <t>MI</t>
  </si>
  <si>
    <t>12141901</t>
  </si>
  <si>
    <t>Hondo Valle</t>
  </si>
  <si>
    <t>Palmar de Ocoa</t>
  </si>
  <si>
    <t>Mantener los transportes de trabajo en buen estdo.</t>
  </si>
  <si>
    <t>Maimón</t>
  </si>
  <si>
    <t>47131602</t>
  </si>
  <si>
    <t>El Carril</t>
  </si>
  <si>
    <t>Adquisicion planta electrica de 250kilos</t>
  </si>
  <si>
    <t>Sánchez Ramírez</t>
  </si>
  <si>
    <t>La Entrada</t>
  </si>
  <si>
    <t>ENRIQUILLO</t>
  </si>
  <si>
    <t>Jarabacoa</t>
  </si>
  <si>
    <t>Boca Chica</t>
  </si>
  <si>
    <t>Santo Domingo Norte</t>
  </si>
  <si>
    <t>MIPYME Mujeres</t>
  </si>
  <si>
    <t>La Caya</t>
  </si>
  <si>
    <t>Sabana Cruz</t>
  </si>
  <si>
    <t>47121610</t>
  </si>
  <si>
    <t>25111903</t>
  </si>
  <si>
    <t>Servicios: Consultoría basada en la calidad de los servicios</t>
  </si>
  <si>
    <t>San Luis</t>
  </si>
  <si>
    <t>25172502</t>
  </si>
  <si>
    <t>Reparación de grietas interior en las Peceras de las Exhibiciones y  y Construcción Plataforma de trabajo de la Intistución</t>
  </si>
  <si>
    <t>42142103</t>
  </si>
  <si>
    <t>Villa Fundación</t>
  </si>
  <si>
    <t>Proyecto 4</t>
  </si>
  <si>
    <t>Hostos</t>
  </si>
  <si>
    <t>El Cedro (Jobero)</t>
  </si>
  <si>
    <t>44121804</t>
  </si>
  <si>
    <t>Kilómetro cuadrado</t>
  </si>
  <si>
    <t>Los Botados</t>
  </si>
  <si>
    <t>43211708</t>
  </si>
  <si>
    <t>Laguna Salada</t>
  </si>
  <si>
    <t>La Salvia- Los Quemados</t>
  </si>
  <si>
    <t>DOC</t>
  </si>
  <si>
    <t>Monte de la Jagua</t>
  </si>
  <si>
    <t>Esperanza</t>
  </si>
  <si>
    <t>47131502</t>
  </si>
  <si>
    <t>Azua</t>
  </si>
  <si>
    <t>39101613</t>
  </si>
  <si>
    <t>31201505</t>
  </si>
  <si>
    <t>Para garantizar la vida de las especies, en las exhibiciones.</t>
  </si>
  <si>
    <t>Onza</t>
  </si>
  <si>
    <t/>
  </si>
  <si>
    <t>Combustibles para plantas eléctricas, vehículos y máquinarias de trabajo</t>
  </si>
  <si>
    <t>Servicios</t>
  </si>
  <si>
    <t>Proveer de los Neumáticos necesarios y en buen estado de los vehículos de la Institución</t>
  </si>
  <si>
    <t>Miligramo</t>
  </si>
  <si>
    <t>Pedro García</t>
  </si>
  <si>
    <t xml:space="preserve">Unidad de Compra </t>
  </si>
  <si>
    <t>Hato Nuevo Cortés</t>
  </si>
  <si>
    <t>Gualete</t>
  </si>
  <si>
    <t>Las Guáranas</t>
  </si>
  <si>
    <t>Dar el mantenimiento y la higiene en las Instalaciones.</t>
  </si>
  <si>
    <t>42271705</t>
  </si>
  <si>
    <t>PRECIO UNITARIO ESTIMADO</t>
  </si>
  <si>
    <t>La Otra Banda</t>
  </si>
  <si>
    <t>44121801</t>
  </si>
  <si>
    <t>Cabral</t>
  </si>
  <si>
    <t>La Guázara</t>
  </si>
  <si>
    <t>Excepción - Obras científicas, técnicas, artísticas, o restauración  de monumentos históricos</t>
  </si>
  <si>
    <t>Bayaguana</t>
  </si>
  <si>
    <t>31201522</t>
  </si>
  <si>
    <t>Las Táranas</t>
  </si>
  <si>
    <t>Ganadero</t>
  </si>
  <si>
    <t>Excepción - Construcción, instalación o adquisición de oficinas para el servicio exterior</t>
  </si>
  <si>
    <t>Villa Isabela</t>
  </si>
  <si>
    <t>Excepción - Proveedor Único</t>
  </si>
  <si>
    <t>Cambio de las luces existentes por tipo Led, para las exhibiciones de la Institución.</t>
  </si>
  <si>
    <t>Los Ríos</t>
  </si>
  <si>
    <t>Yerba Buena</t>
  </si>
  <si>
    <t>Pizarrete</t>
  </si>
  <si>
    <t>La Bija</t>
  </si>
  <si>
    <t>Duarte</t>
  </si>
  <si>
    <t>Adquisición de Neumáticos para las llantas de los vehículos de la Institución</t>
  </si>
  <si>
    <t>14111801</t>
  </si>
  <si>
    <t>Kilogramo</t>
  </si>
  <si>
    <t>MG</t>
  </si>
  <si>
    <t>44121619</t>
  </si>
  <si>
    <t>60121111</t>
  </si>
  <si>
    <t>Reparación y mantenimiento</t>
  </si>
  <si>
    <t>Impresiones de Boletas, talonarios y otros, para distintas funciones de la Institución.</t>
  </si>
  <si>
    <t>Cabeza de Toro</t>
  </si>
  <si>
    <t>Pulgada</t>
  </si>
  <si>
    <t>32101601</t>
  </si>
  <si>
    <t>Matayaya</t>
  </si>
  <si>
    <t>44122011</t>
  </si>
  <si>
    <t>Bayahíbe</t>
  </si>
  <si>
    <t>El Limón</t>
  </si>
  <si>
    <t>31162002</t>
  </si>
  <si>
    <t>La Romana</t>
  </si>
  <si>
    <t>DISTRITOS MUNICIPALES</t>
  </si>
  <si>
    <t>Adquisición de Compresor  completo, Capitano, generativo de Aire puro</t>
  </si>
  <si>
    <t>12352310</t>
  </si>
  <si>
    <t>Arroyo Barril</t>
  </si>
  <si>
    <t>Bajos de Haina</t>
  </si>
  <si>
    <t xml:space="preserve">Servir de apoyo para los gastos de los útiles escolares de los hijos de empleados de la Institución. </t>
  </si>
  <si>
    <t>40151513</t>
  </si>
  <si>
    <t>Yarda cuadrada</t>
  </si>
  <si>
    <t>39121531</t>
  </si>
  <si>
    <t>Las Palomas</t>
  </si>
  <si>
    <t>Estebanía</t>
  </si>
  <si>
    <t>50101538</t>
  </si>
  <si>
    <t>14111703</t>
  </si>
  <si>
    <t>CIBAO SUR</t>
  </si>
  <si>
    <t>DEC</t>
  </si>
  <si>
    <t>Castañuelas</t>
  </si>
  <si>
    <t>24101611</t>
  </si>
  <si>
    <t>Sánchez</t>
  </si>
  <si>
    <t>Bonos Navideños para los empleados de la Institución</t>
  </si>
  <si>
    <t xml:space="preserve">Artículos y materiales de limpieza </t>
  </si>
  <si>
    <t>Remozamiento y mantenimiento Auditorio</t>
  </si>
  <si>
    <t>Verón Punta Cana</t>
  </si>
  <si>
    <t>31201603</t>
  </si>
  <si>
    <t>Alimentar las especies que estan en las exhibiciones de la Institución.</t>
  </si>
  <si>
    <t>Cañongo</t>
  </si>
  <si>
    <t xml:space="preserve">Suministrar los equipos necesarios de informática, para las oficinas </t>
  </si>
  <si>
    <t>Palo Alto</t>
  </si>
  <si>
    <t>Puerto Viejo</t>
  </si>
  <si>
    <t>FECHA INICIO PROCESO DE COMPRA</t>
  </si>
  <si>
    <t>San Fernando de Montecristi</t>
  </si>
  <si>
    <t>Gonzalo</t>
  </si>
  <si>
    <t>49161502</t>
  </si>
  <si>
    <t>Yarda</t>
  </si>
  <si>
    <t>46182001</t>
  </si>
  <si>
    <t>27111503</t>
  </si>
  <si>
    <t>40101701</t>
  </si>
  <si>
    <t>30181513</t>
  </si>
  <si>
    <t>Monte Plata</t>
  </si>
  <si>
    <t>30102521</t>
  </si>
  <si>
    <t>Resma</t>
  </si>
  <si>
    <t>Instalación y desintalación Puertas Metalicas en todas las areas y servicios de impermeabilización.</t>
  </si>
  <si>
    <t>Comendador</t>
  </si>
  <si>
    <t>42272012</t>
  </si>
  <si>
    <t>Mantener los laboratorios equipados para mejorar la calidad y el cuidado de las especies.</t>
  </si>
  <si>
    <t>50121705</t>
  </si>
  <si>
    <t>Cristóbal</t>
  </si>
  <si>
    <t>Santiago</t>
  </si>
  <si>
    <t>Consuelo</t>
  </si>
  <si>
    <t>Sí</t>
  </si>
  <si>
    <t>Obsequiar Bonos a los empleados de la Institución, para las fiestas navideña.</t>
  </si>
  <si>
    <t>Aquisición Frutas y Vegetales Frescos</t>
  </si>
  <si>
    <t>Manuel Bueno</t>
  </si>
  <si>
    <t>Jayaco</t>
  </si>
  <si>
    <t>Articulos y Materiales de Limpieza para el mantenimiento de la Institución.</t>
  </si>
  <si>
    <t>31201523</t>
  </si>
  <si>
    <t>Adquisicón Equipo y Accesorios de Informática</t>
  </si>
  <si>
    <t>Fondo Negro</t>
  </si>
  <si>
    <t>Nuevo Brasil</t>
  </si>
  <si>
    <t>Villa González</t>
  </si>
  <si>
    <t>Baní</t>
  </si>
  <si>
    <t>Licey al Medio</t>
  </si>
  <si>
    <t>Uvilla</t>
  </si>
  <si>
    <t>39121406</t>
  </si>
  <si>
    <t>44121618</t>
  </si>
  <si>
    <t>Las Charcas de María Nova</t>
  </si>
  <si>
    <t>MIL</t>
  </si>
  <si>
    <t>El Salado</t>
  </si>
  <si>
    <t>Guayabo</t>
  </si>
  <si>
    <t>Para el aire de los Tanques de Buceo</t>
  </si>
  <si>
    <t>41111501</t>
  </si>
  <si>
    <t>Baitoa</t>
  </si>
  <si>
    <t>Boyá</t>
  </si>
  <si>
    <t>Doña Emma Balaguer viuda Vallejo</t>
  </si>
  <si>
    <t>Laguna Nisibón</t>
  </si>
  <si>
    <t>LUGAR DE EJECUCIÓN / ENTREGA</t>
  </si>
  <si>
    <t>Licitacion Restringida</t>
  </si>
  <si>
    <t>La Cuaba</t>
  </si>
  <si>
    <t>Belloso</t>
  </si>
  <si>
    <t>Obras</t>
  </si>
  <si>
    <t>Angelina</t>
  </si>
  <si>
    <t>Mantener al personal con equipos de buceo en buen estado.</t>
  </si>
  <si>
    <t>El Ranchito</t>
  </si>
  <si>
    <t>45121516</t>
  </si>
  <si>
    <t>39121205</t>
  </si>
  <si>
    <t>Galón</t>
  </si>
  <si>
    <t>Sabana Larga</t>
  </si>
  <si>
    <t>Batista</t>
  </si>
  <si>
    <t>Decímetro</t>
  </si>
  <si>
    <t>San Pedro de Macorís</t>
  </si>
  <si>
    <t>Las Charcas</t>
  </si>
  <si>
    <t>Mantener la limpieza en las instalaciones de la institución.</t>
  </si>
  <si>
    <t>39121520</t>
  </si>
  <si>
    <t>El Pinar</t>
  </si>
  <si>
    <t>Fantino</t>
  </si>
  <si>
    <t>La Jaiba</t>
  </si>
  <si>
    <t>Jaibón (Pueblo Nuevo)</t>
  </si>
  <si>
    <t>49141503</t>
  </si>
  <si>
    <t>SNCC.F.069</t>
  </si>
  <si>
    <t>Juma Bejucal</t>
  </si>
  <si>
    <t>44121802</t>
  </si>
  <si>
    <t>KG</t>
  </si>
  <si>
    <t>Jicomé</t>
  </si>
  <si>
    <t>39121601</t>
  </si>
  <si>
    <t>44103105</t>
  </si>
  <si>
    <t>DM</t>
  </si>
  <si>
    <t>Mantener la Seguridad de los visitantes y empleados de la Institución.</t>
  </si>
  <si>
    <t>El Estrecho de Luperón Omar Bross</t>
  </si>
  <si>
    <t>40142008</t>
  </si>
  <si>
    <t>Metro cúbico</t>
  </si>
  <si>
    <t>Fundación</t>
  </si>
  <si>
    <t>Sub Capítulo</t>
  </si>
  <si>
    <t>30111601</t>
  </si>
  <si>
    <t>Boca de Yuma</t>
  </si>
  <si>
    <t>Mantener las plantas eléctricas de la Institución en un buen funcionamiento.</t>
  </si>
  <si>
    <t>Compras por debajo del Umbral</t>
  </si>
  <si>
    <t>26101763</t>
  </si>
  <si>
    <t>30181505</t>
  </si>
  <si>
    <t>Centímetro</t>
  </si>
  <si>
    <t>Santa Bárbara El 06</t>
  </si>
  <si>
    <t>Juan de Herrera</t>
  </si>
  <si>
    <t>Palmarejo-Villa Linda</t>
  </si>
  <si>
    <t>Mantener las areas de la institución en buen mantenimiento.</t>
  </si>
  <si>
    <t>Loma de Cabrera</t>
  </si>
  <si>
    <t>Ciento</t>
  </si>
  <si>
    <t>Piedra Blanca</t>
  </si>
  <si>
    <t>El Peñón</t>
  </si>
  <si>
    <t>Oviedo</t>
  </si>
  <si>
    <t>Santiago Rodriguez</t>
  </si>
  <si>
    <t>23153401</t>
  </si>
  <si>
    <t>Sabana Alta</t>
  </si>
  <si>
    <t>24112407</t>
  </si>
  <si>
    <t>44122107</t>
  </si>
  <si>
    <t>El Yaque</t>
  </si>
  <si>
    <t>Pedro Santana</t>
  </si>
  <si>
    <t>40161502</t>
  </si>
  <si>
    <t>50121802</t>
  </si>
  <si>
    <t>San Víctor</t>
  </si>
  <si>
    <t>El Seibo</t>
  </si>
  <si>
    <t>Hermanas Mirabal</t>
  </si>
  <si>
    <t>Hato Damas</t>
  </si>
  <si>
    <t>41111621</t>
  </si>
  <si>
    <t>La Ortega</t>
  </si>
  <si>
    <t>La Descubierta</t>
  </si>
  <si>
    <t>Cabrera</t>
  </si>
  <si>
    <t>27111708</t>
  </si>
  <si>
    <t>42131601</t>
  </si>
  <si>
    <t>Para mantener la alimentación de las especies viva en exhibición.</t>
  </si>
  <si>
    <t>Villa de Pedro Sánchez</t>
  </si>
  <si>
    <t>49141505</t>
  </si>
  <si>
    <t>PULG</t>
  </si>
  <si>
    <t>Nagua</t>
  </si>
  <si>
    <t>DESTINADO A MIPYMES</t>
  </si>
  <si>
    <t>40161505</t>
  </si>
  <si>
    <t>43201803</t>
  </si>
  <si>
    <t>La Ciénaga</t>
  </si>
  <si>
    <t>Duvergé</t>
  </si>
  <si>
    <t>44101802</t>
  </si>
  <si>
    <t>La Canela</t>
  </si>
  <si>
    <t>Jínova</t>
  </si>
  <si>
    <t>24101620</t>
  </si>
  <si>
    <t>43211507</t>
  </si>
  <si>
    <t>52151650</t>
  </si>
  <si>
    <t>CÓDIGO SNIP</t>
  </si>
  <si>
    <t>Distrito Nacional</t>
  </si>
  <si>
    <t>Quinientas unidades</t>
  </si>
  <si>
    <t>40142002</t>
  </si>
  <si>
    <t>Tábara Arriba</t>
  </si>
  <si>
    <t>46182301</t>
  </si>
  <si>
    <t>44102606</t>
  </si>
  <si>
    <t>Arroyo Dulce</t>
  </si>
  <si>
    <t>44121605</t>
  </si>
  <si>
    <t>Rancho de la Guardia</t>
  </si>
  <si>
    <t>Salcedo</t>
  </si>
  <si>
    <t>49211805</t>
  </si>
  <si>
    <t>Santa Cruz de Barahona</t>
  </si>
  <si>
    <t>Quisqueya</t>
  </si>
  <si>
    <t>56101529</t>
  </si>
  <si>
    <t>Excepción - Rescisión de contratos cuya terminación no exceda el 40% del monto total del proyecto, obra o servicio</t>
  </si>
  <si>
    <t>Estero Hondo</t>
  </si>
  <si>
    <t>Máquinarias de Limpieza</t>
  </si>
  <si>
    <t>Pedro Brand</t>
  </si>
  <si>
    <t>La Cuchilla</t>
  </si>
  <si>
    <t>Cumayasa</t>
  </si>
  <si>
    <t>Veragua</t>
  </si>
  <si>
    <t>49141502</t>
  </si>
  <si>
    <t>Valverde</t>
  </si>
  <si>
    <t>31162906</t>
  </si>
  <si>
    <t>Los Toros</t>
  </si>
  <si>
    <t>Unidad Ejecutora</t>
  </si>
  <si>
    <t>OBJETO DE CONTRATACIÓN</t>
  </si>
  <si>
    <t>30201708</t>
  </si>
  <si>
    <t>San Francisco Vicentillo</t>
  </si>
  <si>
    <t>CT</t>
  </si>
  <si>
    <t>FT</t>
  </si>
  <si>
    <t>Pinturas para el mantenimiento en general</t>
  </si>
  <si>
    <t>30181504</t>
  </si>
  <si>
    <t>La Guáyiga</t>
  </si>
  <si>
    <t>27112126</t>
  </si>
  <si>
    <t>39121721</t>
  </si>
  <si>
    <t>14111608</t>
  </si>
  <si>
    <t>Palmar Arriba</t>
  </si>
  <si>
    <t>40142317</t>
  </si>
  <si>
    <t>Postrer Río</t>
  </si>
  <si>
    <t>PROVINCIAS</t>
  </si>
  <si>
    <t>Capotillo</t>
  </si>
  <si>
    <t>Bonao</t>
  </si>
  <si>
    <t>Neyba</t>
  </si>
  <si>
    <t>Dajabón</t>
  </si>
  <si>
    <t>47121603</t>
  </si>
  <si>
    <t>Salvaléon de Higüey</t>
  </si>
  <si>
    <t>Adquisición y reemplazo sistema de iluminación de las exhibiciones</t>
  </si>
  <si>
    <t>26121519</t>
  </si>
  <si>
    <t>42312204</t>
  </si>
  <si>
    <t>Las Barías-La Estancia</t>
  </si>
  <si>
    <t>Cambita el Pueblecito</t>
  </si>
  <si>
    <t>Navas</t>
  </si>
  <si>
    <t xml:space="preserve">Objeto de Contratación </t>
  </si>
  <si>
    <t>Pie cúbico</t>
  </si>
  <si>
    <t>Las Zanjas</t>
  </si>
  <si>
    <t>11121502</t>
  </si>
  <si>
    <t>40142115</t>
  </si>
  <si>
    <t>Baterias para plantas eléctricas y vehículos de trabajos</t>
  </si>
  <si>
    <t>Facilitar el trabajo en las áreas técnica y de trabajo de la institución.</t>
  </si>
  <si>
    <t>Jorgillo</t>
  </si>
  <si>
    <t>Sabana del Puerto</t>
  </si>
  <si>
    <t>Arroyo Toro Masipedro</t>
  </si>
  <si>
    <t>Mantener el buen funcionamiento para dar la energía necesaria a las exhibiciones.</t>
  </si>
  <si>
    <t>El Limonal</t>
  </si>
  <si>
    <t>Sabana Yegua</t>
  </si>
  <si>
    <t>Monción</t>
  </si>
  <si>
    <t>REGIONES</t>
  </si>
  <si>
    <t>10101704</t>
  </si>
  <si>
    <t>47131611</t>
  </si>
  <si>
    <t>Sabana Grande de Palenque</t>
  </si>
  <si>
    <t>La Isabela</t>
  </si>
  <si>
    <t>EL VALLE</t>
  </si>
  <si>
    <t xml:space="preserve">Mantener las plantas en funcionamiento para el bienestar de las especies en exhibición. </t>
  </si>
  <si>
    <t>TOTAL COMPRA ESTIMADA</t>
  </si>
  <si>
    <t>Catalina</t>
  </si>
  <si>
    <t>El Rubio</t>
  </si>
  <si>
    <t>Equipo medicos para los laboratorios</t>
  </si>
  <si>
    <t>Puerto Plata</t>
  </si>
  <si>
    <t>SEM</t>
  </si>
  <si>
    <t>47131803</t>
  </si>
  <si>
    <t>Tireo Arriba</t>
  </si>
  <si>
    <t>15101506</t>
  </si>
  <si>
    <t>José Fco. Peña Gómez</t>
  </si>
  <si>
    <t>Las Lomas</t>
  </si>
  <si>
    <t>Independencia</t>
  </si>
  <si>
    <t>26111601</t>
  </si>
  <si>
    <t>26121609</t>
  </si>
  <si>
    <t>5134</t>
  </si>
  <si>
    <t>Canabacoa</t>
  </si>
  <si>
    <t>30111607</t>
  </si>
  <si>
    <t>Las Yayas de Viajama</t>
  </si>
  <si>
    <t>Agua Santa del Yuna</t>
  </si>
  <si>
    <t>Paraíso</t>
  </si>
  <si>
    <t>IN</t>
  </si>
  <si>
    <t>FECHA PREVISTA ADJUDICACIÓN</t>
  </si>
  <si>
    <t>MES</t>
  </si>
  <si>
    <t>Adquisición Camaras de seguridad</t>
  </si>
  <si>
    <t>Etiquetas necesarias</t>
  </si>
  <si>
    <t>Las Terrenas</t>
  </si>
  <si>
    <t>OZ</t>
  </si>
  <si>
    <t>70101801</t>
  </si>
  <si>
    <t>Hato del Yaque</t>
  </si>
  <si>
    <t>RESMA</t>
  </si>
  <si>
    <t>44101805</t>
  </si>
  <si>
    <t>Sorteo de Obras</t>
  </si>
  <si>
    <t>Región</t>
  </si>
  <si>
    <t>Villa Jaragua</t>
  </si>
  <si>
    <t>Don Juan</t>
  </si>
  <si>
    <t>41112509</t>
  </si>
  <si>
    <t>72102602</t>
  </si>
  <si>
    <t>Distrito Municipal</t>
  </si>
  <si>
    <t>Ramón Santana</t>
  </si>
  <si>
    <t>Guatapanal</t>
  </si>
  <si>
    <t>Metro</t>
  </si>
  <si>
    <t>Gaspar Hernández</t>
  </si>
  <si>
    <t>Compras de Boletas, Talonarios, y otros,  para el Acuario Nacional</t>
  </si>
  <si>
    <t>Joba Arriba</t>
  </si>
  <si>
    <t>40142612</t>
  </si>
  <si>
    <t>14111507</t>
  </si>
  <si>
    <t>Kilómetro</t>
  </si>
  <si>
    <t>San José de las Matas</t>
  </si>
  <si>
    <t>10101702</t>
  </si>
  <si>
    <t>Monte Bonito</t>
  </si>
  <si>
    <t>40151601</t>
  </si>
  <si>
    <t>La Cuesta</t>
  </si>
  <si>
    <t>Frutas y Verduras frescas (Acuariologia/Veterinaria)</t>
  </si>
  <si>
    <t>44122104</t>
  </si>
  <si>
    <t xml:space="preserve">Cambiar todas las puertas Metalica por mal estado y tiempo de uso  </t>
  </si>
  <si>
    <t>Vallejuelo</t>
  </si>
  <si>
    <t>Cenoví</t>
  </si>
  <si>
    <t>Hato del Padre</t>
  </si>
  <si>
    <t>Majagual</t>
  </si>
  <si>
    <t>27112007</t>
  </si>
  <si>
    <t>52121704</t>
  </si>
  <si>
    <t>Arenoso</t>
  </si>
  <si>
    <t>14111607</t>
  </si>
  <si>
    <t>La Mata</t>
  </si>
  <si>
    <t>Montecristi</t>
  </si>
  <si>
    <t>10141606</t>
  </si>
  <si>
    <t>San José de Matanzas</t>
  </si>
  <si>
    <t>32101622</t>
  </si>
  <si>
    <t>60104912</t>
  </si>
  <si>
    <t>Combustible y para vehículos y Maquinas de trabajo de la Institución.</t>
  </si>
  <si>
    <t>27112132</t>
  </si>
  <si>
    <t>Pie</t>
  </si>
  <si>
    <t>Tamboril</t>
  </si>
  <si>
    <t>49141504</t>
  </si>
  <si>
    <t>Tonelada</t>
  </si>
  <si>
    <t>El Cercado</t>
  </si>
  <si>
    <t>72102404</t>
  </si>
  <si>
    <t>Batey 08</t>
  </si>
  <si>
    <t>Cruce de Guayacanes</t>
  </si>
  <si>
    <t>Galván</t>
  </si>
  <si>
    <t>Mantener una buena alimentación a las especies vivas en exhibición.</t>
  </si>
  <si>
    <t>Jaibón (Laguna Salada)</t>
  </si>
  <si>
    <t>Monserrat</t>
  </si>
  <si>
    <t>Gramo</t>
  </si>
  <si>
    <t>El Carretón</t>
  </si>
  <si>
    <t>Los Alcarrizos</t>
  </si>
  <si>
    <t>Juancho</t>
  </si>
  <si>
    <t>PROCEDIMIENTO DE SELECCIÓN</t>
  </si>
  <si>
    <t>Rincón</t>
  </si>
  <si>
    <t>Santo Domingo</t>
  </si>
  <si>
    <t>26101513</t>
  </si>
  <si>
    <t>41111604</t>
  </si>
  <si>
    <t>Guayubín</t>
  </si>
  <si>
    <t>Hernando Alonso</t>
  </si>
  <si>
    <t>Bohechio</t>
  </si>
  <si>
    <t>Adquisición Aires acondicionados, para las diferentes oficinas</t>
  </si>
  <si>
    <t>Canca la Piedra</t>
  </si>
  <si>
    <t>Bánica</t>
  </si>
  <si>
    <t>Villa de Sonador</t>
  </si>
  <si>
    <t>Centímetro Cuadrado</t>
  </si>
  <si>
    <t>Adquisición Compresor generativo de Aire de 25HP, para peceras</t>
  </si>
  <si>
    <t>Peralta</t>
  </si>
  <si>
    <t>Código de la Unidad de Compra</t>
  </si>
  <si>
    <t>Quita Sueño</t>
  </si>
  <si>
    <t>Villarpando</t>
  </si>
  <si>
    <t>Nizao Las Auyamas</t>
  </si>
  <si>
    <t>Mella</t>
  </si>
  <si>
    <t>FECHA DE NECESSIDAD</t>
  </si>
  <si>
    <t>Villa los Almácigos</t>
  </si>
  <si>
    <t>39101701</t>
  </si>
  <si>
    <t>Excepción - Resolución 15-08 sobre compra y contratación de pasaje aéreo, combustible y reparación de vehículos de motor</t>
  </si>
  <si>
    <t>44103103</t>
  </si>
  <si>
    <t>01</t>
  </si>
  <si>
    <t>San Cristóbal</t>
  </si>
  <si>
    <t>San Juan de la Maguana</t>
  </si>
  <si>
    <t>52121702</t>
  </si>
  <si>
    <t>Paradero</t>
  </si>
  <si>
    <t>Bonos Escolar</t>
  </si>
  <si>
    <t>Puñal</t>
  </si>
  <si>
    <t>Villa Tapia</t>
  </si>
  <si>
    <t>CANTIDAD TOTAL ESTIMADA</t>
  </si>
  <si>
    <t>Procedimientos</t>
  </si>
  <si>
    <t>MONTO TOTAL ESTIMADO</t>
  </si>
  <si>
    <t>Gautier</t>
  </si>
  <si>
    <t>Destinado a MIPYME?</t>
  </si>
  <si>
    <t>El Pozo</t>
  </si>
  <si>
    <t>43221516</t>
  </si>
  <si>
    <t>Enriquillo</t>
  </si>
  <si>
    <t>000840</t>
  </si>
  <si>
    <t>Sabana Grande de Boyá</t>
  </si>
  <si>
    <t xml:space="preserve">Adquisición de peces vivos variados, de agua marina y dulce. </t>
  </si>
  <si>
    <t>Nizao</t>
  </si>
  <si>
    <t>Sabaneta</t>
  </si>
  <si>
    <t>Río San Juan</t>
  </si>
  <si>
    <t>San Gregorio de Nigua</t>
  </si>
  <si>
    <t>H/H</t>
  </si>
  <si>
    <t>Libra </t>
  </si>
  <si>
    <t>UNIDAD DE MEDIDA</t>
  </si>
  <si>
    <t>Milímetro</t>
  </si>
  <si>
    <t>Boca de Cachón</t>
  </si>
  <si>
    <t>41113034</t>
  </si>
  <si>
    <t>Servicios: Consultorías</t>
  </si>
  <si>
    <t>Juan Santiago</t>
  </si>
  <si>
    <t>CÓDIGO CATÁLOGO</t>
  </si>
  <si>
    <t>44121615</t>
  </si>
  <si>
    <t>YD2</t>
  </si>
  <si>
    <t>44121701</t>
  </si>
  <si>
    <t>Las Clavellinas</t>
  </si>
  <si>
    <t>39101612</t>
  </si>
  <si>
    <t>Suministrar los materiales para los de oficinas.</t>
  </si>
  <si>
    <t>55101519</t>
  </si>
  <si>
    <t>72102201</t>
  </si>
  <si>
    <t>53131627</t>
  </si>
  <si>
    <t>Version: 1.0.0</t>
  </si>
  <si>
    <t>Adquisición Maquinarias para limpieza en general</t>
  </si>
  <si>
    <t>ARTÍCULO</t>
  </si>
  <si>
    <t>Arroyo Cano</t>
  </si>
  <si>
    <t>31211904</t>
  </si>
  <si>
    <t>Clavellina</t>
  </si>
  <si>
    <t>Los Cacaos</t>
  </si>
  <si>
    <t xml:space="preserve">Reparación y Mantenimiento de Vehículos </t>
  </si>
  <si>
    <t>12163201</t>
  </si>
  <si>
    <t>47131609</t>
  </si>
  <si>
    <t>41101802</t>
  </si>
  <si>
    <t>NOMBRE O REFERENCIA DE CONTRATACIÓN</t>
  </si>
  <si>
    <t>Río Verde Arriba</t>
  </si>
  <si>
    <t>Las Barías</t>
  </si>
  <si>
    <t>31211910</t>
  </si>
  <si>
    <t>HIGUAMO</t>
  </si>
  <si>
    <t>Hato Mayor</t>
  </si>
  <si>
    <t>Yásica Arriba</t>
  </si>
  <si>
    <t>12161902</t>
  </si>
  <si>
    <t>Barraquito</t>
  </si>
  <si>
    <t>KM2</t>
  </si>
  <si>
    <t>47131812</t>
  </si>
  <si>
    <t>Sabana Buey</t>
  </si>
  <si>
    <t>39121402</t>
  </si>
  <si>
    <t>Paya</t>
  </si>
  <si>
    <t>CM2</t>
  </si>
  <si>
    <t>IN2</t>
  </si>
  <si>
    <t>10101703</t>
  </si>
  <si>
    <t xml:space="preserve">Equipo y materiales de Informática </t>
  </si>
  <si>
    <t>Jaya</t>
  </si>
  <si>
    <t>Las Matas de Santa Cruz</t>
  </si>
  <si>
    <t>Palo Verde</t>
  </si>
  <si>
    <t>42132203</t>
  </si>
  <si>
    <t>31161508</t>
  </si>
  <si>
    <t>Blanco</t>
  </si>
  <si>
    <t>Tábara Abajo</t>
  </si>
  <si>
    <t>La Peña</t>
  </si>
  <si>
    <t>40101505</t>
  </si>
  <si>
    <t>Caja</t>
  </si>
  <si>
    <t>San José de los Llanos</t>
  </si>
  <si>
    <t>DISTRITO MUNICIPAL</t>
  </si>
  <si>
    <t>26121520</t>
  </si>
  <si>
    <t>Monto Estimado Total</t>
  </si>
  <si>
    <t>60123601</t>
  </si>
  <si>
    <t>El Palmar</t>
  </si>
  <si>
    <t>Don Antonio Guzmán Fernández</t>
  </si>
  <si>
    <t>27112003</t>
  </si>
  <si>
    <t>Ámina</t>
  </si>
  <si>
    <t>DÍA</t>
  </si>
  <si>
    <t>Río Grande</t>
  </si>
  <si>
    <t>0001</t>
  </si>
  <si>
    <t>La Cueva</t>
  </si>
  <si>
    <t>49141507</t>
  </si>
  <si>
    <t>La Caleta</t>
  </si>
  <si>
    <t>31211801</t>
  </si>
  <si>
    <t>Cana Chapetón</t>
  </si>
  <si>
    <t>31201511</t>
  </si>
  <si>
    <t>Litro</t>
  </si>
  <si>
    <t>Compras Menores</t>
  </si>
  <si>
    <t>Buena Vista</t>
  </si>
  <si>
    <t>La Siembra</t>
  </si>
  <si>
    <t>San Felipe de Puerto Plata</t>
  </si>
  <si>
    <t>Vengan a ver</t>
  </si>
  <si>
    <t>31201507</t>
  </si>
  <si>
    <t>YUMA</t>
  </si>
  <si>
    <t>Metro cuadrado</t>
  </si>
  <si>
    <t>Villa Central</t>
  </si>
  <si>
    <t>Para manterner las Especies en exhibición con el oxigeno necesario y a tiempo</t>
  </si>
  <si>
    <t>27111801</t>
  </si>
  <si>
    <t>500UD</t>
  </si>
  <si>
    <t>Cambita Garabitos</t>
  </si>
  <si>
    <t>Miches</t>
  </si>
  <si>
    <t>Peralvillo</t>
  </si>
  <si>
    <t>Mena</t>
  </si>
  <si>
    <t>Espaillat</t>
  </si>
  <si>
    <t>Bienes</t>
  </si>
  <si>
    <t>No</t>
  </si>
  <si>
    <t>2020</t>
  </si>
  <si>
    <t>Licitacion Publica Internacional</t>
  </si>
  <si>
    <t xml:space="preserve">Materiales y Equipo de Buceo </t>
  </si>
  <si>
    <t>Villa Elisa</t>
  </si>
  <si>
    <t>46161604</t>
  </si>
  <si>
    <t>41104814</t>
  </si>
  <si>
    <t>Guayacanes</t>
  </si>
  <si>
    <t>Sabana de la Mar</t>
  </si>
  <si>
    <t>Santa Cruz del Seibo</t>
  </si>
  <si>
    <t>Fabricación de plataforma de trabajos, en concreto</t>
  </si>
  <si>
    <t>Un</t>
  </si>
  <si>
    <t>Imbert</t>
  </si>
  <si>
    <t>60102613</t>
  </si>
  <si>
    <t>Mes</t>
  </si>
  <si>
    <t>41113715</t>
  </si>
  <si>
    <t>Concepción de La Vega</t>
  </si>
  <si>
    <t>Mantener en condición el ambiente de trabajo, para un mejor desempeño de la parte humana.</t>
  </si>
  <si>
    <t>Las Galeras</t>
  </si>
  <si>
    <t>55101520</t>
  </si>
  <si>
    <t>San Francisco de Jacagua</t>
  </si>
  <si>
    <t>Las Matas de Farfán</t>
  </si>
  <si>
    <t>Villa Altagracia</t>
  </si>
  <si>
    <t>Juncalito</t>
  </si>
  <si>
    <t>San Ignacio de Sabaneta</t>
  </si>
  <si>
    <t>Las Lagunas Abajo</t>
  </si>
  <si>
    <t>VALDESIA</t>
  </si>
  <si>
    <t>ACUARIO NACIONAL</t>
  </si>
  <si>
    <t>27111909</t>
  </si>
  <si>
    <t>Altamira</t>
  </si>
  <si>
    <t>Villa Sombrero</t>
  </si>
  <si>
    <t>Jima Abajo</t>
  </si>
  <si>
    <t>Los Fríos</t>
  </si>
  <si>
    <t>50101634</t>
  </si>
  <si>
    <t>30151604</t>
  </si>
  <si>
    <t xml:space="preserve">Materiales gastables para las oficinas administrativas </t>
  </si>
  <si>
    <t>Las Placetas</t>
  </si>
  <si>
    <t>Mata Palacio</t>
  </si>
  <si>
    <t>26111703</t>
  </si>
  <si>
    <t>Pedro Corto</t>
  </si>
  <si>
    <t>Quita Coraza</t>
  </si>
  <si>
    <t>15121503</t>
  </si>
  <si>
    <t>El Pino</t>
  </si>
  <si>
    <t>Constanza</t>
  </si>
  <si>
    <t>Chirino</t>
  </si>
  <si>
    <t>Villa Vásquez</t>
  </si>
  <si>
    <t>Mantener los vehiculos en buen estado para cumplir con los trabajos correspondientes.</t>
  </si>
  <si>
    <t>Pedernales</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</si>
</sst>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2" formatCode="_-* #,##0\ &quot;€&quot;_-;\-* #,##0\ &quot;€&quot;_-;_-* &quot;-&quot;\ &quot;€&quot;_-;_-@_-"/>
    <numFmt numFmtId="41" formatCode="_-* #,##0\ _€_-;\-* #,##0\ _€_-;_-* &quot;-&quot;\ _€_-;_-@_-"/>
    <numFmt numFmtId="44" formatCode="_-* #,##0.00\ &quot;€&quot;_-;\-* #,##0.00\ &quot;€&quot;_-;_-* &quot;-&quot;??\ &quot;€&quot;_-;_-@_-"/>
    <numFmt numFmtId="43" formatCode="_-* #,##0.00\ _€_-;\-* #,##0.00\ _€_-;_-* &quot;-&quot;??\ _€_-;_-@_-"/>
    <numFmt numFmtId="164" formatCode="_-[$RD$-1C0A]* #,##0.00_-;\-[$RD$-1C0A]* #,##0.00_-;_-[$RD$-1C0A]* &quot;-&quot;??_-;_-@_-"/>
    <numFmt numFmtId="165" formatCode="dd\-mm\-yyyy"/>
    <numFmt numFmtId="166" formatCode="_-[$RD$-1C0A]* #,##0.00_ ;_-[$RD$-1C0A]* \-#,##0.00\ ;_-[$RD$-1C0A]* &quot; - &quot;??_ ;_-@_ "/>
  </numFmts>
  <fonts count="18" x14ac:knownFonts="1">
    <font>
      <sz val="11"/>
      <color theme="1"/>
      <name val="Calibri"/>
      <scheme val="minor"/>
    </font>
    <font>
      <sz val="10"/>
      <name val="Arial"/>
      <family val="2"/>
    </font>
    <font>
      <sz val="14"/>
      <color theme="1"/>
      <name val="Arial Narrow"/>
      <family val="2"/>
    </font>
    <font>
      <b/>
      <sz val="12"/>
      <color theme="1"/>
      <name val="Arial Narrow"/>
      <family val="2"/>
    </font>
    <font>
      <b/>
      <sz val="16"/>
      <color theme="1"/>
      <name val="Arial Narrow"/>
      <family val="2"/>
    </font>
    <font>
      <sz val="11"/>
      <color theme="1"/>
      <name val="Arial Narrow"/>
      <family val="2"/>
    </font>
    <font>
      <sz val="8"/>
      <color theme="1"/>
      <name val="Calibri"/>
      <family val="2"/>
      <scheme val="minor"/>
    </font>
    <font>
      <b/>
      <sz val="8"/>
      <color rgb="FFFFFFFF"/>
      <name val="Arial"/>
      <family val="2"/>
    </font>
    <font>
      <sz val="8"/>
      <color rgb="FF000000"/>
      <name val="Arial"/>
      <family val="2"/>
    </font>
    <font>
      <b/>
      <sz val="10"/>
      <color rgb="FF363636"/>
      <name val="Verdana"/>
      <family val="2"/>
    </font>
    <font>
      <b/>
      <sz val="9"/>
      <color rgb="FF002060"/>
      <name val="Arial Narrow"/>
      <family val="2"/>
    </font>
    <font>
      <sz val="9"/>
      <color theme="1"/>
      <name val="Arial Narrow"/>
      <family val="2"/>
    </font>
    <font>
      <b/>
      <sz val="9"/>
      <color theme="1"/>
      <name val="Arial Narrow"/>
      <family val="2"/>
    </font>
    <font>
      <b/>
      <sz val="9"/>
      <color theme="1"/>
      <name val="Calibri"/>
      <family val="2"/>
      <scheme val="minor"/>
    </font>
    <font>
      <b/>
      <sz val="8"/>
      <color theme="1"/>
      <name val="Calibri"/>
      <family val="2"/>
      <scheme val="minor"/>
    </font>
    <font>
      <b/>
      <sz val="9"/>
      <name val="Tahoma"/>
      <family val="2"/>
    </font>
    <font>
      <sz val="10"/>
      <color rgb="FF008000"/>
      <name val="Arial"/>
      <family val="2"/>
    </font>
    <font>
      <sz val="10"/>
      <color rgb="FF000000"/>
      <name val="Arial"/>
      <family val="2"/>
    </font>
  </fonts>
  <fills count="11">
    <fill>
      <patternFill patternType="none"/>
    </fill>
    <fill>
      <patternFill patternType="gray125"/>
    </fill>
    <fill>
      <patternFill patternType="solid">
        <fgColor rgb="FF9BC2E6"/>
        <bgColor indexed="64"/>
      </patternFill>
    </fill>
    <fill>
      <patternFill patternType="solid">
        <fgColor rgb="FFDDEBF7"/>
        <bgColor indexed="64"/>
      </patternFill>
    </fill>
    <fill>
      <patternFill patternType="solid">
        <fgColor rgb="FFC9C9C9"/>
        <bgColor indexed="64"/>
      </patternFill>
    </fill>
    <fill>
      <patternFill patternType="solid">
        <fgColor indexed="65"/>
        <bgColor indexed="64"/>
      </patternFill>
    </fill>
    <fill>
      <patternFill patternType="solid">
        <fgColor theme="0"/>
        <bgColor indexed="64"/>
      </patternFill>
    </fill>
    <fill>
      <patternFill patternType="solid">
        <fgColor rgb="FF00B0CA"/>
        <bgColor indexed="64"/>
      </patternFill>
    </fill>
    <fill>
      <patternFill patternType="solid">
        <fgColor rgb="FF92D050"/>
        <bgColor indexed="64"/>
      </patternFill>
    </fill>
    <fill>
      <patternFill patternType="solid">
        <fgColor theme="6" tint="0.39997558519241921"/>
        <bgColor indexed="64"/>
      </patternFill>
    </fill>
    <fill>
      <patternFill patternType="solid">
        <fgColor theme="0" tint="-0.14993743705557422"/>
        <bgColor indexed="64"/>
      </patternFill>
    </fill>
  </fills>
  <borders count="15">
    <border>
      <left/>
      <right/>
      <top/>
      <bottom/>
      <diagonal/>
    </border>
    <border>
      <left style="medium">
        <color auto="1"/>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right/>
      <top style="thick">
        <color theme="0" tint="-0.49992370372631001"/>
      </top>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style="medium">
        <color auto="1"/>
      </right>
      <top/>
      <bottom style="medium">
        <color auto="1"/>
      </bottom>
      <diagonal/>
    </border>
    <border>
      <left/>
      <right/>
      <top style="medium">
        <color auto="1"/>
      </top>
      <bottom/>
      <diagonal/>
    </border>
    <border>
      <left/>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s>
  <cellStyleXfs count="52">
    <xf numFmtId="0" fontId="0" fillId="0" borderId="0"/>
    <xf numFmtId="9" fontId="1" fillId="0" borderId="0"/>
    <xf numFmtId="44" fontId="1" fillId="0" borderId="0"/>
    <xf numFmtId="42" fontId="1" fillId="0" borderId="0"/>
    <xf numFmtId="43" fontId="1" fillId="0" borderId="0"/>
    <xf numFmtId="4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4" fillId="2" borderId="1">
      <alignment horizontal="center" vertical="center" wrapText="1"/>
    </xf>
    <xf numFmtId="0" fontId="14" fillId="2" borderId="1">
      <alignment horizontal="center" vertical="center" textRotation="90" wrapText="1"/>
    </xf>
    <xf numFmtId="0" fontId="14" fillId="0" borderId="1">
      <alignment horizontal="center" vertical="center"/>
    </xf>
    <xf numFmtId="165" fontId="14" fillId="0" borderId="1">
      <alignment horizontal="center" vertical="center"/>
    </xf>
    <xf numFmtId="0" fontId="14" fillId="3" borderId="1">
      <alignment horizontal="center" vertical="center"/>
    </xf>
    <xf numFmtId="0" fontId="14" fillId="4" borderId="1">
      <alignment horizontal="center" vertical="center"/>
    </xf>
    <xf numFmtId="0" fontId="6" fillId="5" borderId="2">
      <alignment horizontal="center" vertical="center"/>
    </xf>
    <xf numFmtId="166" fontId="6" fillId="5" borderId="2">
      <alignment horizontal="center" vertical="center"/>
    </xf>
    <xf numFmtId="0" fontId="6" fillId="5" borderId="2">
      <alignment horizontal="center" vertical="center" wrapText="1"/>
    </xf>
    <xf numFmtId="0" fontId="14" fillId="0" borderId="1">
      <alignment horizontal="center" vertical="center"/>
    </xf>
    <xf numFmtId="0" fontId="14" fillId="0" borderId="1">
      <alignment horizontal="left" vertical="center"/>
    </xf>
    <xf numFmtId="0" fontId="14" fillId="3" borderId="1">
      <alignment horizontal="center" vertical="center"/>
    </xf>
    <xf numFmtId="0" fontId="6" fillId="5" borderId="2">
      <alignment horizontal="left" vertical="center"/>
    </xf>
  </cellStyleXfs>
  <cellXfs count="78">
    <xf numFmtId="0" fontId="0" fillId="0" borderId="0" xfId="0"/>
    <xf numFmtId="0" fontId="2" fillId="0" borderId="3" xfId="0" applyFont="1" applyBorder="1" applyAlignment="1" applyProtection="1">
      <alignment vertical="center"/>
      <protection hidden="1"/>
    </xf>
    <xf numFmtId="0" fontId="2" fillId="6" borderId="3" xfId="0" applyFont="1" applyFill="1" applyBorder="1" applyAlignment="1" applyProtection="1">
      <alignment vertical="center"/>
      <protection hidden="1"/>
    </xf>
    <xf numFmtId="0" fontId="2" fillId="0" borderId="0" xfId="0" applyFont="1" applyAlignment="1" applyProtection="1">
      <alignment vertical="center"/>
      <protection hidden="1"/>
    </xf>
    <xf numFmtId="0" fontId="7" fillId="7" borderId="0" xfId="0" applyFont="1" applyFill="1" applyBorder="1" applyAlignment="1">
      <alignment horizontal="center" vertical="center" wrapText="1"/>
    </xf>
    <xf numFmtId="0" fontId="6" fillId="0" borderId="0" xfId="0" applyFont="1" applyBorder="1"/>
    <xf numFmtId="0" fontId="8" fillId="0" borderId="0" xfId="0" applyFont="1" applyBorder="1" applyAlignment="1">
      <alignment vertical="center" wrapText="1"/>
    </xf>
    <xf numFmtId="0" fontId="6" fillId="0" borderId="0" xfId="0" applyFont="1" applyBorder="1" applyAlignment="1">
      <alignment horizontal="left"/>
    </xf>
    <xf numFmtId="0" fontId="6" fillId="0" borderId="0" xfId="0" applyFont="1" applyBorder="1" applyAlignment="1">
      <alignment horizontal="center"/>
    </xf>
    <xf numFmtId="0" fontId="6" fillId="0" borderId="0" xfId="0" applyFont="1" applyFill="1" applyBorder="1" applyAlignment="1">
      <alignment horizontal="center"/>
    </xf>
    <xf numFmtId="0" fontId="2" fillId="6" borderId="0" xfId="0" applyFont="1" applyFill="1" applyAlignment="1" applyProtection="1">
      <alignment vertical="center"/>
      <protection hidden="1"/>
    </xf>
    <xf numFmtId="0" fontId="6" fillId="0" borderId="0" xfId="0" applyFont="1" applyFill="1" applyBorder="1" applyAlignment="1">
      <alignment horizontal="left"/>
    </xf>
    <xf numFmtId="0" fontId="6" fillId="8" borderId="0" xfId="0" applyFont="1" applyFill="1" applyBorder="1"/>
    <xf numFmtId="0" fontId="6" fillId="8" borderId="4" xfId="0" applyFont="1" applyFill="1" applyBorder="1"/>
    <xf numFmtId="0" fontId="7" fillId="7" borderId="5" xfId="0" applyFont="1" applyFill="1" applyBorder="1" applyAlignment="1">
      <alignment horizontal="center" vertical="center" wrapText="1"/>
    </xf>
    <xf numFmtId="0" fontId="6" fillId="8" borderId="6" xfId="0" applyFont="1" applyFill="1" applyBorder="1"/>
    <xf numFmtId="0" fontId="6" fillId="8" borderId="7" xfId="0" applyFont="1" applyFill="1" applyBorder="1"/>
    <xf numFmtId="0" fontId="7" fillId="7" borderId="8" xfId="0" applyFont="1" applyFill="1" applyBorder="1" applyAlignment="1">
      <alignment horizontal="center" vertical="center" wrapText="1"/>
    </xf>
    <xf numFmtId="0" fontId="7" fillId="7" borderId="9" xfId="0" applyFont="1" applyFill="1" applyBorder="1" applyAlignment="1">
      <alignment horizontal="center" vertical="center" wrapText="1"/>
    </xf>
    <xf numFmtId="0" fontId="6" fillId="8" borderId="10" xfId="0" applyFont="1" applyFill="1" applyBorder="1"/>
    <xf numFmtId="0" fontId="7" fillId="7" borderId="11" xfId="0" applyFont="1" applyFill="1" applyBorder="1" applyAlignment="1">
      <alignment horizontal="center" vertical="center" wrapText="1"/>
    </xf>
    <xf numFmtId="0" fontId="7" fillId="7" borderId="12" xfId="0" applyFont="1" applyFill="1" applyBorder="1" applyAlignment="1">
      <alignment horizontal="center" vertical="center" wrapText="1"/>
    </xf>
    <xf numFmtId="0" fontId="7" fillId="7" borderId="13" xfId="0" applyFont="1" applyFill="1" applyBorder="1" applyAlignment="1">
      <alignment horizontal="center" vertical="center" wrapText="1"/>
    </xf>
    <xf numFmtId="0" fontId="7" fillId="7" borderId="14" xfId="0" applyFont="1" applyFill="1" applyBorder="1" applyAlignment="1">
      <alignment horizontal="center" vertical="center" wrapText="1"/>
    </xf>
    <xf numFmtId="0" fontId="9" fillId="0" borderId="0" xfId="0" applyFont="1"/>
    <xf numFmtId="0" fontId="7" fillId="7" borderId="0" xfId="0" applyFont="1" applyFill="1" applyBorder="1" applyAlignment="1">
      <alignment horizontal="left" vertical="center" wrapText="1"/>
    </xf>
    <xf numFmtId="0" fontId="5" fillId="0" borderId="0" xfId="0" applyFont="1" applyAlignment="1" applyProtection="1">
      <alignment vertical="center"/>
    </xf>
    <xf numFmtId="0" fontId="2" fillId="6" borderId="3" xfId="0" applyFont="1" applyFill="1" applyBorder="1" applyAlignment="1" applyProtection="1">
      <alignment horizontal="center" vertical="center"/>
    </xf>
    <xf numFmtId="0" fontId="2" fillId="6" borderId="3" xfId="0" applyFont="1" applyFill="1" applyBorder="1" applyAlignment="1" applyProtection="1">
      <alignment vertical="center"/>
    </xf>
    <xf numFmtId="0" fontId="2" fillId="6" borderId="0" xfId="0" applyFont="1" applyFill="1" applyBorder="1" applyAlignment="1" applyProtection="1">
      <alignment vertical="center"/>
    </xf>
    <xf numFmtId="0" fontId="4" fillId="6" borderId="0" xfId="0" applyFont="1" applyFill="1" applyBorder="1" applyAlignment="1" applyProtection="1">
      <alignment vertical="center"/>
    </xf>
    <xf numFmtId="0" fontId="10" fillId="6" borderId="0" xfId="0" applyFont="1" applyFill="1" applyBorder="1" applyAlignment="1" applyProtection="1">
      <alignment horizontal="left" vertical="center"/>
    </xf>
    <xf numFmtId="0" fontId="11" fillId="6" borderId="10" xfId="0" applyFont="1" applyFill="1" applyBorder="1" applyAlignment="1" applyProtection="1">
      <alignment vertical="center"/>
      <protection hidden="1"/>
    </xf>
    <xf numFmtId="0" fontId="10" fillId="6" borderId="0" xfId="0" applyFont="1" applyFill="1" applyBorder="1" applyAlignment="1" applyProtection="1">
      <alignment vertical="center"/>
    </xf>
    <xf numFmtId="0" fontId="11" fillId="6" borderId="11" xfId="0" applyFont="1" applyFill="1" applyBorder="1" applyAlignment="1" applyProtection="1">
      <alignment vertical="center"/>
      <protection hidden="1"/>
    </xf>
    <xf numFmtId="0" fontId="12" fillId="9" borderId="12" xfId="0" applyFont="1" applyFill="1" applyBorder="1" applyAlignment="1" applyProtection="1">
      <alignment horizontal="left" vertical="center"/>
    </xf>
    <xf numFmtId="0" fontId="11" fillId="6" borderId="0" xfId="0" applyFont="1" applyFill="1" applyAlignment="1" applyProtection="1">
      <alignment vertical="center"/>
      <protection hidden="1"/>
    </xf>
    <xf numFmtId="0" fontId="12" fillId="9" borderId="8" xfId="0" applyFont="1" applyFill="1" applyBorder="1" applyAlignment="1" applyProtection="1">
      <alignment horizontal="left" vertical="center"/>
    </xf>
    <xf numFmtId="0" fontId="4" fillId="6" borderId="11" xfId="0" applyFont="1" applyFill="1" applyBorder="1" applyAlignment="1" applyProtection="1">
      <alignment vertical="center"/>
    </xf>
    <xf numFmtId="0" fontId="2" fillId="6" borderId="0" xfId="0" applyFont="1" applyFill="1" applyBorder="1" applyAlignment="1" applyProtection="1">
      <alignment horizontal="center" vertical="center"/>
    </xf>
    <xf numFmtId="0" fontId="11" fillId="0" borderId="0" xfId="0" applyFont="1" applyAlignment="1" applyProtection="1">
      <alignment vertical="center"/>
      <protection hidden="1"/>
    </xf>
    <xf numFmtId="0" fontId="11" fillId="6" borderId="0" xfId="0" applyFont="1" applyFill="1" applyBorder="1" applyAlignment="1" applyProtection="1">
      <alignment vertical="center"/>
      <protection hidden="1"/>
    </xf>
    <xf numFmtId="0" fontId="6" fillId="0" borderId="0" xfId="0" applyFont="1" applyProtection="1"/>
    <xf numFmtId="38" fontId="12" fillId="10" borderId="12" xfId="0" applyNumberFormat="1" applyFont="1" applyFill="1" applyBorder="1" applyAlignment="1" applyProtection="1">
      <alignment vertical="center" wrapText="1"/>
    </xf>
    <xf numFmtId="164" fontId="13" fillId="0" borderId="1" xfId="0" applyNumberFormat="1" applyFont="1" applyFill="1" applyBorder="1" applyAlignment="1" applyProtection="1">
      <alignment vertical="center"/>
    </xf>
    <xf numFmtId="0" fontId="13" fillId="0" borderId="1" xfId="0" applyFont="1" applyFill="1" applyBorder="1" applyAlignment="1" applyProtection="1">
      <alignment vertical="center"/>
    </xf>
    <xf numFmtId="0" fontId="3" fillId="6" borderId="0" xfId="0" applyFont="1" applyFill="1" applyBorder="1" applyAlignment="1" applyProtection="1">
      <alignment vertical="top" wrapText="1"/>
    </xf>
    <xf numFmtId="0" fontId="3" fillId="6" borderId="0" xfId="0" applyFont="1" applyFill="1" applyBorder="1" applyAlignment="1" applyProtection="1">
      <alignment vertical="center" wrapText="1"/>
    </xf>
    <xf numFmtId="0" fontId="14" fillId="2" borderId="1" xfId="39">
      <alignment horizontal="center" vertical="center" wrapText="1"/>
    </xf>
    <xf numFmtId="0" fontId="14" fillId="0" borderId="1" xfId="41">
      <alignment horizontal="center" vertical="center"/>
    </xf>
    <xf numFmtId="0" fontId="14" fillId="0" borderId="1" xfId="41" applyProtection="1">
      <alignment horizontal="center" vertical="center"/>
      <protection locked="0"/>
    </xf>
    <xf numFmtId="0" fontId="14" fillId="3" borderId="1" xfId="43">
      <alignment horizontal="center" vertical="center"/>
    </xf>
    <xf numFmtId="0" fontId="6" fillId="5" borderId="2" xfId="45" applyProtection="1">
      <alignment horizontal="center" vertical="center"/>
      <protection locked="0"/>
    </xf>
    <xf numFmtId="0" fontId="6" fillId="5" borderId="2" xfId="47">
      <alignment horizontal="center" vertical="center" wrapText="1"/>
    </xf>
    <xf numFmtId="166" fontId="6" fillId="5" borderId="2" xfId="46">
      <alignment horizontal="center" vertical="center"/>
    </xf>
    <xf numFmtId="166" fontId="6" fillId="5" borderId="2" xfId="46" applyProtection="1">
      <alignment horizontal="center" vertical="center"/>
      <protection locked="0"/>
    </xf>
    <xf numFmtId="0" fontId="14" fillId="4" borderId="1" xfId="44" applyFont="1">
      <alignment horizontal="center" vertical="center"/>
    </xf>
    <xf numFmtId="0" fontId="14" fillId="4" borderId="2" xfId="44" applyBorder="1">
      <alignment horizontal="center" vertical="center"/>
    </xf>
    <xf numFmtId="166" fontId="6" fillId="4" borderId="2" xfId="46" applyFill="1">
      <alignment horizontal="center" vertical="center"/>
    </xf>
    <xf numFmtId="14" fontId="14" fillId="0" borderId="1" xfId="42" applyNumberFormat="1" applyProtection="1">
      <alignment horizontal="center" vertical="center"/>
      <protection locked="0"/>
    </xf>
    <xf numFmtId="165" fontId="14" fillId="0" borderId="1" xfId="42" applyProtection="1">
      <alignment horizontal="center" vertical="center"/>
      <protection locked="0"/>
    </xf>
    <xf numFmtId="0" fontId="14" fillId="0" borderId="1" xfId="48">
      <alignment horizontal="center" vertical="center"/>
    </xf>
    <xf numFmtId="0" fontId="14" fillId="3" borderId="1" xfId="50">
      <alignment horizontal="center" vertical="center"/>
    </xf>
    <xf numFmtId="0" fontId="14" fillId="0" borderId="1" xfId="49" applyProtection="1">
      <alignment horizontal="left" vertical="center"/>
      <protection locked="0"/>
    </xf>
    <xf numFmtId="0" fontId="6" fillId="5" borderId="2" xfId="45" applyProtection="1">
      <alignment horizontal="center" vertical="center"/>
      <protection locked="0"/>
    </xf>
    <xf numFmtId="0" fontId="6" fillId="5" borderId="2" xfId="51" applyProtection="1">
      <alignment horizontal="left" vertical="center"/>
      <protection locked="0"/>
    </xf>
    <xf numFmtId="0" fontId="14" fillId="4" borderId="2" xfId="44" applyFont="1" applyBorder="1">
      <alignment horizontal="center" vertical="center"/>
    </xf>
    <xf numFmtId="0" fontId="14" fillId="2" borderId="1" xfId="40">
      <alignment horizontal="center" vertical="center" textRotation="90" wrapText="1"/>
    </xf>
    <xf numFmtId="0" fontId="14" fillId="0" borderId="1" xfId="41">
      <alignment horizontal="center" vertical="center"/>
    </xf>
    <xf numFmtId="0" fontId="2" fillId="0" borderId="0" xfId="0" applyFont="1" applyFill="1" applyBorder="1" applyAlignment="1" applyProtection="1">
      <alignment horizontal="center" vertical="center"/>
      <protection hidden="1"/>
    </xf>
    <xf numFmtId="49" fontId="13" fillId="0" borderId="12" xfId="0" applyNumberFormat="1" applyFont="1" applyFill="1" applyBorder="1" applyAlignment="1" applyProtection="1">
      <alignment horizontal="center" vertical="center" wrapText="1"/>
    </xf>
    <xf numFmtId="49" fontId="13" fillId="0" borderId="14" xfId="0" applyNumberFormat="1" applyFont="1" applyFill="1" applyBorder="1" applyAlignment="1" applyProtection="1">
      <alignment horizontal="center" vertical="center" wrapText="1"/>
    </xf>
    <xf numFmtId="0" fontId="3" fillId="10" borderId="0" xfId="0" applyFont="1" applyFill="1" applyBorder="1" applyAlignment="1" applyProtection="1">
      <alignment horizontal="center" vertical="top" wrapText="1"/>
    </xf>
    <xf numFmtId="0" fontId="3" fillId="10" borderId="0" xfId="0" applyFont="1" applyFill="1" applyBorder="1" applyAlignment="1" applyProtection="1">
      <alignment horizontal="center" vertical="center" wrapText="1"/>
    </xf>
    <xf numFmtId="1" fontId="13" fillId="0" borderId="12" xfId="0" applyNumberFormat="1" applyFont="1" applyFill="1" applyBorder="1" applyAlignment="1" applyProtection="1">
      <alignment horizontal="center" vertical="center" wrapText="1"/>
      <protection locked="0"/>
    </xf>
    <xf numFmtId="1" fontId="13" fillId="0" borderId="14" xfId="0" applyNumberFormat="1" applyFont="1" applyFill="1" applyBorder="1" applyAlignment="1" applyProtection="1">
      <alignment horizontal="center" vertical="center" wrapText="1"/>
      <protection locked="0"/>
    </xf>
    <xf numFmtId="14" fontId="13" fillId="0" borderId="12" xfId="0" applyNumberFormat="1" applyFont="1" applyFill="1" applyBorder="1" applyAlignment="1" applyProtection="1">
      <alignment horizontal="center" vertical="center" wrapText="1"/>
      <protection locked="0"/>
    </xf>
    <xf numFmtId="14" fontId="13" fillId="0" borderId="14" xfId="0" applyNumberFormat="1" applyFont="1" applyFill="1" applyBorder="1" applyAlignment="1" applyProtection="1">
      <alignment horizontal="center" vertical="center" wrapText="1"/>
      <protection locked="0"/>
    </xf>
  </cellXfs>
  <cellStyles count="52">
    <cellStyle name="ArticleBody" xfId="45"/>
    <cellStyle name="ArticleBody_currency" xfId="46"/>
    <cellStyle name="ArticleBody_text" xfId="51"/>
    <cellStyle name="ArticleBody_UNSCPCDescription" xfId="47"/>
    <cellStyle name="ArticleHeader" xfId="44"/>
    <cellStyle name="Comma" xfId="4"/>
    <cellStyle name="Comma [0]" xfId="5"/>
    <cellStyle name="Currency" xfId="2"/>
    <cellStyle name="Currency [0]" xfId="3"/>
    <cellStyle name="Normal" xfId="0" builtinId="0"/>
    <cellStyle name="Normal 2" xfId="6"/>
    <cellStyle name="Normal 3" xfId="7"/>
    <cellStyle name="Normal 3 10" xfId="8"/>
    <cellStyle name="Normal 3 11" xfId="9"/>
    <cellStyle name="Normal 3 12" xfId="10"/>
    <cellStyle name="Normal 3 13" xfId="11"/>
    <cellStyle name="Normal 3 14" xfId="12"/>
    <cellStyle name="Normal 3 15" xfId="13"/>
    <cellStyle name="Normal 3 16" xfId="14"/>
    <cellStyle name="Normal 3 17" xfId="15"/>
    <cellStyle name="Normal 3 18" xfId="16"/>
    <cellStyle name="Normal 3 19" xfId="17"/>
    <cellStyle name="Normal 3 2" xfId="18"/>
    <cellStyle name="Normal 3 20" xfId="19"/>
    <cellStyle name="Normal 3 21" xfId="20"/>
    <cellStyle name="Normal 3 22" xfId="21"/>
    <cellStyle name="Normal 3 23" xfId="22"/>
    <cellStyle name="Normal 3 24" xfId="23"/>
    <cellStyle name="Normal 3 25" xfId="24"/>
    <cellStyle name="Normal 3 26" xfId="25"/>
    <cellStyle name="Normal 3 27" xfId="26"/>
    <cellStyle name="Normal 3 28" xfId="27"/>
    <cellStyle name="Normal 3 29" xfId="28"/>
    <cellStyle name="Normal 3 3" xfId="29"/>
    <cellStyle name="Normal 3 30" xfId="30"/>
    <cellStyle name="Normal 3 31" xfId="31"/>
    <cellStyle name="Normal 3 32" xfId="32"/>
    <cellStyle name="Normal 3 4" xfId="33"/>
    <cellStyle name="Normal 3 5" xfId="34"/>
    <cellStyle name="Normal 3 6" xfId="35"/>
    <cellStyle name="Normal 3 7" xfId="36"/>
    <cellStyle name="Normal 3 8" xfId="37"/>
    <cellStyle name="Normal 3 9" xfId="38"/>
    <cellStyle name="Percent" xfId="1"/>
    <cellStyle name="ProcessBody" xfId="41"/>
    <cellStyle name="ProcessBody_address" xfId="49"/>
    <cellStyle name="ProcessBody_datetime" xfId="42"/>
    <cellStyle name="ProcessBody_number" xfId="48"/>
    <cellStyle name="ProcessHeader" xfId="39"/>
    <cellStyle name="ProcessHeader_vertical" xfId="40"/>
    <cellStyle name="ProcessSubHeader" xfId="43"/>
    <cellStyle name="ProcessSubHeader_lugar" xfId="50"/>
  </cellStyles>
  <dxfs count="8">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vertical/>
        <horizontal/>
      </border>
    </dxf>
    <dxf>
      <border>
        <vertical/>
        <horizontal/>
      </border>
    </dxf>
    <dxf>
      <font>
        <strike val="0"/>
      </font>
    </dxf>
  </dxfs>
  <tableStyles count="4" defaultTableStyle="TableStyleMedium2" defaultPivotStyle="PivotStyleLight16">
    <tableStyle name="Table Style 1" pivot="0" count="1">
      <tableStyleElement type="totalRow" dxfId="7"/>
    </tableStyle>
    <tableStyle name="Table Style 2" pivot="0" count="2">
      <tableStyleElement type="wholeTable" dxfId="6"/>
      <tableStyleElement type="totalRow" dxfId="5"/>
    </tableStyle>
    <tableStyle name="Table Style 3" pivot="0" count="3">
      <tableStyleElement type="lastColumn" dxfId="4"/>
      <tableStyleElement type="firstRowStripe" dxfId="3"/>
      <tableStyleElement type="secondRowStripe" dxfId="2"/>
    </tableStyle>
    <tableStyle name="Table Style 4" pivot="0" count="2">
      <tableStyleElement type="firstRowStripe" dxfId="1"/>
      <tableStyleElement type="secondColumn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161925</xdr:rowOff>
    </xdr:from>
    <xdr:to>
      <xdr:col>1</xdr:col>
      <xdr:colOff>342900</xdr:colOff>
      <xdr:row>3</xdr:row>
      <xdr:rowOff>66675</xdr:rowOff>
    </xdr:to>
    <xdr:pic>
      <xdr:nvPicPr>
        <xdr:cNvPr id="5" name="Picture 4"/>
        <xdr:cNvPicPr>
          <a:picLocks noChangeAspect="1"/>
        </xdr:cNvPicPr>
      </xdr:nvPicPr>
      <xdr:blipFill>
        <a:blip xmlns:r="http://schemas.openxmlformats.org/officeDocument/2006/relationships" r:embed="rId1"/>
        <a:stretch>
          <a:fillRect/>
        </a:stretch>
      </xdr:blipFill>
      <xdr:spPr bwMode="auto">
        <a:xfrm>
          <a:off x="0" y="161925"/>
          <a:ext cx="1962150" cy="590550"/>
        </a:xfrm>
        <a:prstGeom prst="rect">
          <a:avLst/>
        </a:prstGeom>
        <a:noFill/>
        <a:ln>
          <a:no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342900</xdr:colOff>
      <xdr:row>0</xdr:row>
      <xdr:rowOff>9525</xdr:rowOff>
    </xdr:from>
    <xdr:to>
      <xdr:col>5</xdr:col>
      <xdr:colOff>1352550</xdr:colOff>
      <xdr:row>4</xdr:row>
      <xdr:rowOff>95250</xdr:rowOff>
    </xdr:to>
    <xdr:pic>
      <xdr:nvPicPr>
        <xdr:cNvPr id="6" name="Picture 5"/>
        <xdr:cNvPicPr>
          <a:picLocks noChangeAspect="1"/>
        </xdr:cNvPicPr>
      </xdr:nvPicPr>
      <xdr:blipFill>
        <a:blip xmlns:r="http://schemas.openxmlformats.org/officeDocument/2006/relationships" r:embed="rId2"/>
        <a:stretch>
          <a:fillRect/>
        </a:stretch>
      </xdr:blipFill>
      <xdr:spPr>
        <a:xfrm>
          <a:off x="9544050" y="9525"/>
          <a:ext cx="1009650" cy="1000125"/>
        </a:xfrm>
        <a:prstGeom prst="rect">
          <a:avLst/>
        </a:prstGeom>
        <a:noFill/>
        <a:ln>
          <a:noFill/>
        </a:ln>
      </xdr:spPr>
    </xdr:pic>
    <xdr:clientData/>
  </xdr:twoCellAnchor>
  <mc:AlternateContent xmlns:mc="http://schemas.openxmlformats.org/markup-compatibility/2006">
    <mc:Choice xmlns:a14="http://schemas.microsoft.com/office/drawing/2010/main" Requires="a14">
      <xdr:twoCellAnchor>
        <xdr:from>
          <xdr:col>0</xdr:col>
          <xdr:colOff>0</xdr:colOff>
          <xdr:row>811</xdr:row>
          <xdr:rowOff>0</xdr:rowOff>
        </xdr:from>
        <xdr:to>
          <xdr:col>1</xdr:col>
          <xdr:colOff>457200</xdr:colOff>
          <xdr:row>812</xdr:row>
          <xdr:rowOff>161925</xdr:rowOff>
        </xdr:to>
        <xdr:sp macro="" textlink="">
          <xdr:nvSpPr>
            <xdr:cNvPr id="12290" name="Button 1026" hidden="1">
              <a:extLst>
                <a:ext uri="{63B3BB69-23CF-44E3-9099-C40C66FF867C}">
                  <a14:compatExt spid="_x0000_s12290"/>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s-ES" sz="1000" b="0" i="0" u="none" strike="noStrike" baseline="0">
                  <a:solidFill>
                    <a:srgbClr val="008000"/>
                  </a:solidFill>
                  <a:latin typeface="Arial"/>
                  <a:cs typeface="Arial"/>
                </a:rPr>
                <a:t>Agregar Procedimiento</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6</xdr:col>
      <xdr:colOff>0</xdr:colOff>
      <xdr:row>2</xdr:row>
      <xdr:rowOff>0</xdr:rowOff>
    </xdr:from>
    <xdr:to>
      <xdr:col>7</xdr:col>
      <xdr:colOff>0</xdr:colOff>
      <xdr:row>3</xdr:row>
      <xdr:rowOff>28575</xdr:rowOff>
    </xdr:to>
    <xdr:sp macro="" textlink="">
      <xdr:nvSpPr>
        <xdr:cNvPr id="10257" name="Button 17" hidden="1"/>
        <xdr:cNvSpPr/>
      </xdr:nvSpPr>
      <xdr:spPr bwMode="auto">
        <a:xfrm>
          <a:off x="9277350" y="571500"/>
          <a:ext cx="762000" cy="171450"/>
        </a:xfrm>
        <a:prstGeom prst="rect">
          <a:avLst/>
        </a:prstGeom>
        <a:noFill/>
        <a:ln w="9525">
          <a:miter lim="800000"/>
        </a:ln>
      </xdr:spPr>
      <xdr:txBody>
        <a:bodyPr vertOverflow="clip" wrap="square" lIns="36576" tIns="36576" rIns="36576" bIns="36576" anchor="ctr" upright="1"/>
        <a:lstStyle/>
        <a:p>
          <a:pPr algn="ctr" rtl="0">
            <a:defRPr sz="1000"/>
          </a:pPr>
          <a:r>
            <a:rPr lang="pt-PT" sz="1600" b="1" i="0" u="none" strike="noStrike" baseline="0">
              <a:solidFill>
                <a:srgbClr val="000000"/>
              </a:solidFill>
              <a:latin typeface="Calibri"/>
            </a:rPr>
            <a:t>+</a:t>
          </a:r>
        </a:p>
      </xdr:txBody>
    </xdr:sp>
    <xdr:clientData/>
  </xdr:twoCellAnchor>
  <xdr:twoCellAnchor>
    <xdr:from>
      <xdr:col>6</xdr:col>
      <xdr:colOff>0</xdr:colOff>
      <xdr:row>0</xdr:row>
      <xdr:rowOff>95250</xdr:rowOff>
    </xdr:from>
    <xdr:to>
      <xdr:col>7</xdr:col>
      <xdr:colOff>0</xdr:colOff>
      <xdr:row>1</xdr:row>
      <xdr:rowOff>123825</xdr:rowOff>
    </xdr:to>
    <xdr:sp macro="" textlink="">
      <xdr:nvSpPr>
        <xdr:cNvPr id="10259" name="Button 19" hidden="1"/>
        <xdr:cNvSpPr/>
      </xdr:nvSpPr>
      <xdr:spPr bwMode="auto">
        <a:xfrm>
          <a:off x="9277350" y="95250"/>
          <a:ext cx="762000" cy="457200"/>
        </a:xfrm>
        <a:prstGeom prst="rect">
          <a:avLst/>
        </a:prstGeom>
        <a:noFill/>
        <a:ln w="9525">
          <a:miter lim="800000"/>
        </a:ln>
      </xdr:spPr>
      <xdr:txBody>
        <a:bodyPr vertOverflow="clip" wrap="square" lIns="36576" tIns="36576" rIns="36576" bIns="36576" anchor="ctr" upright="1"/>
        <a:lstStyle/>
        <a:p>
          <a:pPr algn="ctr" rtl="0">
            <a:defRPr sz="1000"/>
          </a:pPr>
          <a:r>
            <a:rPr lang="pt-PT" sz="1600" b="1" i="0" u="none" strike="noStrike" baseline="0">
              <a:solidFill>
                <a:srgbClr val="000000"/>
              </a:solidFill>
              <a:latin typeface="Calibri"/>
            </a:rPr>
            <a:t>-</a:t>
          </a:r>
        </a:p>
      </xdr:txBody>
    </xdr:sp>
    <xdr:clientData/>
  </xdr:twoCellAnchor>
  <xdr:twoCellAnchor>
    <xdr:from>
      <xdr:col>0</xdr:col>
      <xdr:colOff>142875</xdr:colOff>
      <xdr:row>21</xdr:row>
      <xdr:rowOff>47625</xdr:rowOff>
    </xdr:from>
    <xdr:to>
      <xdr:col>1</xdr:col>
      <xdr:colOff>647700</xdr:colOff>
      <xdr:row>24</xdr:row>
      <xdr:rowOff>0</xdr:rowOff>
    </xdr:to>
    <xdr:sp macro="" textlink="">
      <xdr:nvSpPr>
        <xdr:cNvPr id="10260" name="Button 20" hidden="1"/>
        <xdr:cNvSpPr/>
      </xdr:nvSpPr>
      <xdr:spPr bwMode="auto">
        <a:xfrm>
          <a:off x="142875" y="3505200"/>
          <a:ext cx="1952625" cy="352425"/>
        </a:xfrm>
        <a:prstGeom prst="rect">
          <a:avLst/>
        </a:prstGeom>
        <a:noFill/>
        <a:ln w="9525">
          <a:miter lim="800000"/>
        </a:ln>
      </xdr:spPr>
      <xdr:txBody>
        <a:bodyPr vertOverflow="clip" wrap="square" lIns="27432" tIns="18288" rIns="27432" bIns="18288" anchor="ctr" upright="1"/>
        <a:lstStyle/>
        <a:p>
          <a:pPr algn="ctr" rtl="0">
            <a:defRPr sz="1000"/>
          </a:pPr>
          <a:r>
            <a:rPr lang="pt-PT" sz="800" b="1" i="0" u="none" strike="noStrike" baseline="0">
              <a:solidFill>
                <a:srgbClr val="008000"/>
              </a:solidFill>
              <a:latin typeface="Verdana"/>
              <a:ea typeface="Verdana"/>
              <a:cs typeface="Verdana"/>
            </a:rPr>
            <a:t>Agregar Procedimiento</a:t>
          </a:r>
        </a:p>
      </xdr:txBody>
    </xdr:sp>
    <xdr:clientData/>
  </xdr:twoCellAnchor>
  <xdr:twoCellAnchor>
    <xdr:from>
      <xdr:col>6</xdr:col>
      <xdr:colOff>0</xdr:colOff>
      <xdr:row>9</xdr:row>
      <xdr:rowOff>0</xdr:rowOff>
    </xdr:from>
    <xdr:to>
      <xdr:col>7</xdr:col>
      <xdr:colOff>0</xdr:colOff>
      <xdr:row>10</xdr:row>
      <xdr:rowOff>0</xdr:rowOff>
    </xdr:to>
    <xdr:sp macro="" textlink="">
      <xdr:nvSpPr>
        <xdr:cNvPr id="10262" name="Button 22" hidden="1"/>
        <xdr:cNvSpPr/>
      </xdr:nvSpPr>
      <xdr:spPr bwMode="auto">
        <a:xfrm>
          <a:off x="9277350" y="1562100"/>
          <a:ext cx="762000" cy="428625"/>
        </a:xfrm>
        <a:prstGeom prst="rect">
          <a:avLst/>
        </a:prstGeom>
        <a:noFill/>
        <a:ln w="9525">
          <a:miter lim="800000"/>
        </a:ln>
      </xdr:spPr>
      <xdr:txBody>
        <a:bodyPr vertOverflow="clip" wrap="square" lIns="27432" tIns="18288" rIns="27432" bIns="18288" anchor="ctr" upright="1"/>
        <a:lstStyle/>
        <a:p>
          <a:pPr algn="ctr" rtl="0">
            <a:defRPr sz="1000"/>
          </a:pPr>
          <a:r>
            <a:rPr lang="pt-PT" sz="600" b="1" i="0" u="none" strike="noStrike" baseline="0">
              <a:solidFill>
                <a:srgbClr val="000000"/>
              </a:solidFill>
              <a:latin typeface="Verdana"/>
              <a:ea typeface="Verdana"/>
              <a:cs typeface="Verdana"/>
            </a:rPr>
            <a:t>Eliminar Procedimiento</a:t>
          </a:r>
        </a:p>
      </xdr:txBody>
    </xdr:sp>
    <xdr:clientData/>
  </xdr:twoCellAnchor>
  <xdr:twoCellAnchor>
    <xdr:from>
      <xdr:col>6</xdr:col>
      <xdr:colOff>0</xdr:colOff>
      <xdr:row>2</xdr:row>
      <xdr:rowOff>0</xdr:rowOff>
    </xdr:from>
    <xdr:to>
      <xdr:col>7</xdr:col>
      <xdr:colOff>0</xdr:colOff>
      <xdr:row>3</xdr:row>
      <xdr:rowOff>30480</xdr:rowOff>
    </xdr:to>
    <xdr:sp macro="" textlink="">
      <xdr:nvSpPr>
        <xdr:cNvPr id="12292" name="Button 4" hidden="1">
          <a:extLst>
            <a:ext uri="{63B3BB69-23CF-44E3-9099-C40C66FF867C}">
              <a14:compatExt xmlns:a14="http://schemas.microsoft.com/office/drawing/2010/main" spid="_x0000_s12292"/>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s-ES" sz="1000" b="0" i="0" u="none" strike="noStrike" baseline="0">
              <a:solidFill>
                <a:srgbClr val="000000"/>
              </a:solidFill>
              <a:latin typeface="Arial"/>
              <a:cs typeface="Arial"/>
            </a:rPr>
            <a:t>+</a:t>
          </a:r>
        </a:p>
      </xdr:txBody>
    </xdr:sp>
    <xdr:clientData/>
  </xdr:twoCellAnchor>
  <xdr:twoCellAnchor>
    <xdr:from>
      <xdr:col>6</xdr:col>
      <xdr:colOff>0</xdr:colOff>
      <xdr:row>0</xdr:row>
      <xdr:rowOff>289560</xdr:rowOff>
    </xdr:from>
    <xdr:to>
      <xdr:col>7</xdr:col>
      <xdr:colOff>0</xdr:colOff>
      <xdr:row>1</xdr:row>
      <xdr:rowOff>121920</xdr:rowOff>
    </xdr:to>
    <xdr:sp macro="" textlink="">
      <xdr:nvSpPr>
        <xdr:cNvPr id="12291" name="Button 3" hidden="1">
          <a:extLst>
            <a:ext uri="{63B3BB69-23CF-44E3-9099-C40C66FF867C}">
              <a14:compatExt xmlns:a14="http://schemas.microsoft.com/office/drawing/2010/main" spid="_x0000_s12291"/>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s-ES" sz="1000" b="0" i="0" u="none" strike="noStrike" baseline="0">
              <a:solidFill>
                <a:srgbClr val="000000"/>
              </a:solidFill>
              <a:latin typeface="Arial"/>
              <a:cs typeface="Arial"/>
            </a:rPr>
            <a:t>-</a:t>
          </a:r>
        </a:p>
      </xdr:txBody>
    </xdr:sp>
    <xdr:clientData/>
  </xdr:twoCellAnchor>
  <xdr:twoCellAnchor>
    <xdr:from>
      <xdr:col>0</xdr:col>
      <xdr:colOff>144780</xdr:colOff>
      <xdr:row>20</xdr:row>
      <xdr:rowOff>45720</xdr:rowOff>
    </xdr:from>
    <xdr:to>
      <xdr:col>1</xdr:col>
      <xdr:colOff>647700</xdr:colOff>
      <xdr:row>23</xdr:row>
      <xdr:rowOff>0</xdr:rowOff>
    </xdr:to>
    <xdr:sp macro="" textlink="">
      <xdr:nvSpPr>
        <xdr:cNvPr id="12290" name="Button 2" hidden="1">
          <a:extLst>
            <a:ext uri="{63B3BB69-23CF-44E3-9099-C40C66FF867C}">
              <a14:compatExt xmlns:a14="http://schemas.microsoft.com/office/drawing/2010/main" spid="_x0000_s12290"/>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s-ES" sz="1000" b="0" i="0" u="none" strike="noStrike" baseline="0">
              <a:solidFill>
                <a:srgbClr val="000000"/>
              </a:solidFill>
              <a:latin typeface="Arial"/>
              <a:cs typeface="Arial"/>
            </a:rPr>
            <a:t>Agregar Procedimiento</a:t>
          </a:r>
        </a:p>
      </xdr:txBody>
    </xdr:sp>
    <xdr:clientData/>
  </xdr:twoCellAnchor>
  <xdr:twoCellAnchor>
    <xdr:from>
      <xdr:col>6</xdr:col>
      <xdr:colOff>0</xdr:colOff>
      <xdr:row>9</xdr:row>
      <xdr:rowOff>0</xdr:rowOff>
    </xdr:from>
    <xdr:to>
      <xdr:col>7</xdr:col>
      <xdr:colOff>0</xdr:colOff>
      <xdr:row>10</xdr:row>
      <xdr:rowOff>0</xdr:rowOff>
    </xdr:to>
    <xdr:sp macro="" textlink="">
      <xdr:nvSpPr>
        <xdr:cNvPr id="12289" name="Button 1" hidden="1">
          <a:extLst>
            <a:ext uri="{63B3BB69-23CF-44E3-9099-C40C66FF867C}">
              <a14:compatExt xmlns:a14="http://schemas.microsoft.com/office/drawing/2010/main" spid="_x0000_s12289"/>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s-ES" sz="1000" b="0" i="0" u="none" strike="noStrike" baseline="0">
              <a:solidFill>
                <a:srgbClr val="000000"/>
              </a:solidFill>
              <a:latin typeface="Arial"/>
              <a:cs typeface="Arial"/>
            </a:rPr>
            <a:t>Eliminar Procedimiento</a:t>
          </a:r>
        </a:p>
      </xdr:txBody>
    </xdr:sp>
    <xdr:clientData/>
  </xdr:twoCellAnchor>
  <mc:AlternateContent xmlns:mc="http://schemas.openxmlformats.org/markup-compatibility/2006">
    <mc:Choice xmlns:a14="http://schemas.microsoft.com/office/drawing/2010/main" Requires="a14">
      <xdr:twoCellAnchor>
        <xdr:from>
          <xdr:col>6</xdr:col>
          <xdr:colOff>0</xdr:colOff>
          <xdr:row>2</xdr:row>
          <xdr:rowOff>0</xdr:rowOff>
        </xdr:from>
        <xdr:to>
          <xdr:col>7</xdr:col>
          <xdr:colOff>0</xdr:colOff>
          <xdr:row>3</xdr:row>
          <xdr:rowOff>38100</xdr:rowOff>
        </xdr:to>
        <xdr:sp macro="" textlink="">
          <xdr:nvSpPr>
            <xdr:cNvPr id="14340" name="Button 4" hidden="1">
              <a:extLst>
                <a:ext uri="{63B3BB69-23CF-44E3-9099-C40C66FF867C}">
                  <a14:compatExt spid="_x0000_s14340"/>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s-ES" sz="1000" b="0" i="0" u="none" strike="noStrike" baseline="0">
                  <a:solidFill>
                    <a:srgbClr val="000000"/>
                  </a:solidFill>
                  <a:latin typeface="Arial"/>
                  <a:cs typeface="Arial"/>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0</xdr:row>
          <xdr:rowOff>361950</xdr:rowOff>
        </xdr:from>
        <xdr:to>
          <xdr:col>7</xdr:col>
          <xdr:colOff>0</xdr:colOff>
          <xdr:row>2</xdr:row>
          <xdr:rowOff>9525</xdr:rowOff>
        </xdr:to>
        <xdr:sp macro="" textlink="">
          <xdr:nvSpPr>
            <xdr:cNvPr id="14339" name="Button 3" hidden="1">
              <a:extLst>
                <a:ext uri="{63B3BB69-23CF-44E3-9099-C40C66FF867C}">
                  <a14:compatExt spid="_x0000_s14339"/>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s-ES" sz="1000" b="0" i="0" u="none" strike="noStrike" baseline="0">
                  <a:solidFill>
                    <a:srgbClr val="000000"/>
                  </a:solidFill>
                  <a:latin typeface="Arial"/>
                  <a:cs typeface="Arial"/>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180975</xdr:colOff>
          <xdr:row>19</xdr:row>
          <xdr:rowOff>57150</xdr:rowOff>
        </xdr:from>
        <xdr:to>
          <xdr:col>1</xdr:col>
          <xdr:colOff>809625</xdr:colOff>
          <xdr:row>22</xdr:row>
          <xdr:rowOff>0</xdr:rowOff>
        </xdr:to>
        <xdr:sp macro="" textlink="">
          <xdr:nvSpPr>
            <xdr:cNvPr id="14338" name="Button 2" hidden="1">
              <a:extLst>
                <a:ext uri="{63B3BB69-23CF-44E3-9099-C40C66FF867C}">
                  <a14:compatExt spid="_x0000_s14338"/>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s-ES" sz="1000" b="0" i="0" u="none" strike="noStrike" baseline="0">
                  <a:solidFill>
                    <a:srgbClr val="000000"/>
                  </a:solidFill>
                  <a:latin typeface="Arial"/>
                  <a:cs typeface="Arial"/>
                </a:rPr>
                <a:t>Agregar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xdr:row>
          <xdr:rowOff>0</xdr:rowOff>
        </xdr:from>
        <xdr:to>
          <xdr:col>7</xdr:col>
          <xdr:colOff>0</xdr:colOff>
          <xdr:row>10</xdr:row>
          <xdr:rowOff>0</xdr:rowOff>
        </xdr:to>
        <xdr:sp macro="" textlink="">
          <xdr:nvSpPr>
            <xdr:cNvPr id="14337" name="Button 1" hidden="1">
              <a:extLst>
                <a:ext uri="{63B3BB69-23CF-44E3-9099-C40C66FF867C}">
                  <a14:compatExt spid="_x0000_s14337"/>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s-ES" sz="1000" b="0" i="0" u="none" strike="noStrike" baseline="0">
                  <a:solidFill>
                    <a:srgbClr val="000000"/>
                  </a:solidFill>
                  <a:latin typeface="Arial"/>
                  <a:cs typeface="Arial"/>
                </a:rPr>
                <a:t>Eliminar Procedimiento</a:t>
              </a:r>
            </a:p>
          </xdr:txBody>
        </xdr:sp>
        <xdr:clientData/>
      </xdr:twoCellAnchor>
    </mc:Choice>
    <mc:Fallback/>
  </mc:AlternateContent>
</xdr:wsDr>
</file>

<file path=xl/tables/table1.xml><?xml version="1.0" encoding="utf-8"?>
<table xmlns="http://schemas.openxmlformats.org/spreadsheetml/2006/main" id="6" name="Table6" displayName="Table6" ref="A48:F79"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10.xml><?xml version="1.0" encoding="utf-8"?>
<table xmlns="http://schemas.openxmlformats.org/spreadsheetml/2006/main" id="32" name="Table32" displayName="Table32" ref="A692:F696"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11.xml><?xml version="1.0" encoding="utf-8"?>
<table xmlns="http://schemas.openxmlformats.org/spreadsheetml/2006/main" id="17" name="Table17" displayName="Table17" ref="A379:F382"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12.xml><?xml version="1.0" encoding="utf-8"?>
<table xmlns="http://schemas.openxmlformats.org/spreadsheetml/2006/main" id="37" name="Table37" displayName="Table37" ref="A770:F771"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13.xml><?xml version="1.0" encoding="utf-8"?>
<table xmlns="http://schemas.openxmlformats.org/spreadsheetml/2006/main" id="30" name="Table30" displayName="Table30" ref="A663:F664"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14.xml><?xml version="1.0" encoding="utf-8"?>
<table xmlns="http://schemas.openxmlformats.org/spreadsheetml/2006/main" id="35" name="Table35" displayName="Table35" ref="A747:F748"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15.xml><?xml version="1.0" encoding="utf-8"?>
<table xmlns="http://schemas.openxmlformats.org/spreadsheetml/2006/main" id="38" name="Table38" displayName="Table38" ref="A781:F782"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16.xml><?xml version="1.0" encoding="utf-8"?>
<table xmlns="http://schemas.openxmlformats.org/spreadsheetml/2006/main" id="40" name="Table40" displayName="Table40" ref="A806:F809"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17.xml><?xml version="1.0" encoding="utf-8"?>
<table xmlns="http://schemas.openxmlformats.org/spreadsheetml/2006/main" id="16" name="Table16" displayName="Table16" ref="A367:F369"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18.xml><?xml version="1.0" encoding="utf-8"?>
<table xmlns="http://schemas.openxmlformats.org/spreadsheetml/2006/main" id="21" name="Table21" displayName="Table21" ref="A435:F461"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19.xml><?xml version="1.0" encoding="utf-8"?>
<table xmlns="http://schemas.openxmlformats.org/spreadsheetml/2006/main" id="20" name="Table20" displayName="Table20" ref="A420:F425"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2.xml><?xml version="1.0" encoding="utf-8"?>
<table xmlns="http://schemas.openxmlformats.org/spreadsheetml/2006/main" id="12" name="Table12" displayName="Table12" ref="A316:F317"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20.xml><?xml version="1.0" encoding="utf-8"?>
<table xmlns="http://schemas.openxmlformats.org/spreadsheetml/2006/main" id="26" name="Table26" displayName="Table26" ref="A522:F552"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21.xml><?xml version="1.0" encoding="utf-8"?>
<table xmlns="http://schemas.openxmlformats.org/spreadsheetml/2006/main" id="15" name="Table15" displayName="Table15" ref="A355:F357"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22.xml><?xml version="1.0" encoding="utf-8"?>
<table xmlns="http://schemas.openxmlformats.org/spreadsheetml/2006/main" id="5" name="Table5" displayName="Table5" ref="A36:F38"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23.xml><?xml version="1.0" encoding="utf-8"?>
<table xmlns="http://schemas.openxmlformats.org/spreadsheetml/2006/main" id="36" name="Table36" displayName="Table36" ref="A758:F760"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24.xml><?xml version="1.0" encoding="utf-8"?>
<table xmlns="http://schemas.openxmlformats.org/spreadsheetml/2006/main" id="13" name="Table13" displayName="Table13" ref="A327:F331"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25.xml><?xml version="1.0" encoding="utf-8"?>
<table xmlns="http://schemas.openxmlformats.org/spreadsheetml/2006/main" id="14" name="Table14" displayName="Table14" ref="A341:F345"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26.xml><?xml version="1.0" encoding="utf-8"?>
<table xmlns="http://schemas.openxmlformats.org/spreadsheetml/2006/main" id="39" name="Table39" displayName="Table39" ref="A792:F796"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27.xml><?xml version="1.0" encoding="utf-8"?>
<table xmlns="http://schemas.openxmlformats.org/spreadsheetml/2006/main" id="18" name="Table18" displayName="Table18" ref="A392:F395"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28.xml><?xml version="1.0" encoding="utf-8"?>
<table xmlns="http://schemas.openxmlformats.org/spreadsheetml/2006/main" id="8" name="Table8" displayName="Table8" ref="A138:F139"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29.xml><?xml version="1.0" encoding="utf-8"?>
<table xmlns="http://schemas.openxmlformats.org/spreadsheetml/2006/main" id="4" name="Table4" displayName="Table4" ref="A22:F26"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3.xml><?xml version="1.0" encoding="utf-8"?>
<table xmlns="http://schemas.openxmlformats.org/spreadsheetml/2006/main" id="9" name="Table9" displayName="Table9" ref="A149:F152"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30.xml><?xml version="1.0" encoding="utf-8"?>
<table xmlns="http://schemas.openxmlformats.org/spreadsheetml/2006/main" id="27" name="Table27" displayName="Table27" ref="A562:F592"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31.xml><?xml version="1.0" encoding="utf-8"?>
<table xmlns="http://schemas.openxmlformats.org/spreadsheetml/2006/main" id="31" name="Table31" displayName="Table31" ref="A674:F682"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32.xml><?xml version="1.0" encoding="utf-8"?>
<table xmlns="http://schemas.openxmlformats.org/spreadsheetml/2006/main" id="11" name="Table11" displayName="Table11" ref="A173:F306"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33.xml><?xml version="1.0" encoding="utf-8"?>
<table xmlns="http://schemas.openxmlformats.org/spreadsheetml/2006/main" id="28" name="Table28" displayName="Table28" ref="A602:F617"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34.xml><?xml version="1.0" encoding="utf-8"?>
<table xmlns="http://schemas.openxmlformats.org/spreadsheetml/2006/main" id="24" name="Table24" displayName="Table24" ref="A495:F498"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35.xml><?xml version="1.0" encoding="utf-8"?>
<table xmlns="http://schemas.openxmlformats.org/spreadsheetml/2006/main" id="7" name="Table7" displayName="Table7" ref="A89:F128"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36.xml><?xml version="1.0" encoding="utf-8"?>
<table xmlns="http://schemas.openxmlformats.org/spreadsheetml/2006/main" id="23" name="Table23" displayName="Table23" ref="A483:F485"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37.xml><?xml version="1.0" encoding="utf-8"?>
<table xmlns="http://schemas.openxmlformats.org/spreadsheetml/2006/main" id="29" name="Table29" displayName="Table29" ref="A627:F653"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38.xml><?xml version="1.0" encoding="utf-8"?>
<table xmlns="http://schemas.openxmlformats.org/spreadsheetml/2006/main" id="3" name="Table3" displayName="Table3" ref="A8:F9" totalsRowShown="0">
  <autoFilter ref="A8:F9"/>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name="None" showFirstColumn="0" showLastColumn="0" showRowStripes="1" showColumnStripes="0"/>
</table>
</file>

<file path=xl/tables/table4.xml><?xml version="1.0" encoding="utf-8"?>
<table xmlns="http://schemas.openxmlformats.org/spreadsheetml/2006/main" id="33" name="Table33" displayName="Table33" ref="A706:F721"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5.xml><?xml version="1.0" encoding="utf-8"?>
<table xmlns="http://schemas.openxmlformats.org/spreadsheetml/2006/main" id="34" name="Table34" displayName="Table34" ref="A731:F737"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6.xml><?xml version="1.0" encoding="utf-8"?>
<table xmlns="http://schemas.openxmlformats.org/spreadsheetml/2006/main" id="19" name="Table19" displayName="Table19" ref="A405:F410"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7.xml><?xml version="1.0" encoding="utf-8"?>
<table xmlns="http://schemas.openxmlformats.org/spreadsheetml/2006/main" id="22" name="Table22" displayName="Table22" ref="A471:F473"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8.xml><?xml version="1.0" encoding="utf-8"?>
<table xmlns="http://schemas.openxmlformats.org/spreadsheetml/2006/main" id="10" name="Table10" displayName="Table10" ref="A162:F163"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9.xml><?xml version="1.0" encoding="utf-8"?>
<table xmlns="http://schemas.openxmlformats.org/spreadsheetml/2006/main" id="25" name="Table25" displayName="Table25" ref="A508:F512"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table" Target="../tables/table9.xml"/><Relationship Id="rId18" Type="http://schemas.openxmlformats.org/officeDocument/2006/relationships/table" Target="../tables/table14.xml"/><Relationship Id="rId26" Type="http://schemas.openxmlformats.org/officeDocument/2006/relationships/table" Target="../tables/table22.xml"/><Relationship Id="rId39" Type="http://schemas.openxmlformats.org/officeDocument/2006/relationships/table" Target="../tables/table35.xml"/><Relationship Id="rId21" Type="http://schemas.openxmlformats.org/officeDocument/2006/relationships/table" Target="../tables/table17.xml"/><Relationship Id="rId34" Type="http://schemas.openxmlformats.org/officeDocument/2006/relationships/table" Target="../tables/table30.xml"/><Relationship Id="rId42" Type="http://schemas.openxmlformats.org/officeDocument/2006/relationships/comments" Target="../comments1.xml"/><Relationship Id="rId7" Type="http://schemas.openxmlformats.org/officeDocument/2006/relationships/table" Target="../tables/table3.xml"/><Relationship Id="rId2" Type="http://schemas.openxmlformats.org/officeDocument/2006/relationships/drawing" Target="../drawings/drawing1.xml"/><Relationship Id="rId16" Type="http://schemas.openxmlformats.org/officeDocument/2006/relationships/table" Target="../tables/table12.xml"/><Relationship Id="rId20" Type="http://schemas.openxmlformats.org/officeDocument/2006/relationships/table" Target="../tables/table16.xml"/><Relationship Id="rId29" Type="http://schemas.openxmlformats.org/officeDocument/2006/relationships/table" Target="../tables/table25.xml"/><Relationship Id="rId41" Type="http://schemas.openxmlformats.org/officeDocument/2006/relationships/table" Target="../tables/table37.xml"/><Relationship Id="rId1" Type="http://schemas.openxmlformats.org/officeDocument/2006/relationships/printerSettings" Target="../printerSettings/printerSettings1.bin"/><Relationship Id="rId6" Type="http://schemas.openxmlformats.org/officeDocument/2006/relationships/table" Target="../tables/table2.xml"/><Relationship Id="rId11" Type="http://schemas.openxmlformats.org/officeDocument/2006/relationships/table" Target="../tables/table7.xml"/><Relationship Id="rId24" Type="http://schemas.openxmlformats.org/officeDocument/2006/relationships/table" Target="../tables/table20.xml"/><Relationship Id="rId32" Type="http://schemas.openxmlformats.org/officeDocument/2006/relationships/table" Target="../tables/table28.xml"/><Relationship Id="rId37" Type="http://schemas.openxmlformats.org/officeDocument/2006/relationships/table" Target="../tables/table33.xml"/><Relationship Id="rId40" Type="http://schemas.openxmlformats.org/officeDocument/2006/relationships/table" Target="../tables/table36.xml"/><Relationship Id="rId5" Type="http://schemas.openxmlformats.org/officeDocument/2006/relationships/table" Target="../tables/table1.xml"/><Relationship Id="rId15" Type="http://schemas.openxmlformats.org/officeDocument/2006/relationships/table" Target="../tables/table11.xml"/><Relationship Id="rId23" Type="http://schemas.openxmlformats.org/officeDocument/2006/relationships/table" Target="../tables/table19.xml"/><Relationship Id="rId28" Type="http://schemas.openxmlformats.org/officeDocument/2006/relationships/table" Target="../tables/table24.xml"/><Relationship Id="rId36" Type="http://schemas.openxmlformats.org/officeDocument/2006/relationships/table" Target="../tables/table32.xml"/><Relationship Id="rId10" Type="http://schemas.openxmlformats.org/officeDocument/2006/relationships/table" Target="../tables/table6.xml"/><Relationship Id="rId19" Type="http://schemas.openxmlformats.org/officeDocument/2006/relationships/table" Target="../tables/table15.xml"/><Relationship Id="rId31" Type="http://schemas.openxmlformats.org/officeDocument/2006/relationships/table" Target="../tables/table27.xml"/><Relationship Id="rId4" Type="http://schemas.openxmlformats.org/officeDocument/2006/relationships/ctrlProp" Target="../ctrlProps/ctrlProp1.xml"/><Relationship Id="rId9" Type="http://schemas.openxmlformats.org/officeDocument/2006/relationships/table" Target="../tables/table5.xml"/><Relationship Id="rId14" Type="http://schemas.openxmlformats.org/officeDocument/2006/relationships/table" Target="../tables/table10.xml"/><Relationship Id="rId22" Type="http://schemas.openxmlformats.org/officeDocument/2006/relationships/table" Target="../tables/table18.xml"/><Relationship Id="rId27" Type="http://schemas.openxmlformats.org/officeDocument/2006/relationships/table" Target="../tables/table23.xml"/><Relationship Id="rId30" Type="http://schemas.openxmlformats.org/officeDocument/2006/relationships/table" Target="../tables/table26.xml"/><Relationship Id="rId35" Type="http://schemas.openxmlformats.org/officeDocument/2006/relationships/table" Target="../tables/table31.xml"/><Relationship Id="rId8" Type="http://schemas.openxmlformats.org/officeDocument/2006/relationships/table" Target="../tables/table4.xml"/><Relationship Id="rId3" Type="http://schemas.openxmlformats.org/officeDocument/2006/relationships/vmlDrawing" Target="../drawings/vmlDrawing1.vml"/><Relationship Id="rId12" Type="http://schemas.openxmlformats.org/officeDocument/2006/relationships/table" Target="../tables/table8.xml"/><Relationship Id="rId17" Type="http://schemas.openxmlformats.org/officeDocument/2006/relationships/table" Target="../tables/table13.xml"/><Relationship Id="rId25" Type="http://schemas.openxmlformats.org/officeDocument/2006/relationships/table" Target="../tables/table21.xml"/><Relationship Id="rId33" Type="http://schemas.openxmlformats.org/officeDocument/2006/relationships/table" Target="../tables/table29.xml"/><Relationship Id="rId38" Type="http://schemas.openxmlformats.org/officeDocument/2006/relationships/table" Target="../tables/table34.xml"/></Relationships>
</file>

<file path=xl/worksheets/_rels/sheet3.xml.rels><?xml version="1.0" encoding="UTF-8" standalone="yes"?>
<Relationships xmlns="http://schemas.openxmlformats.org/package/2006/relationships"><Relationship Id="rId8" Type="http://schemas.openxmlformats.org/officeDocument/2006/relationships/comments" Target="../comments2.xml"/><Relationship Id="rId3" Type="http://schemas.openxmlformats.org/officeDocument/2006/relationships/ctrlProp" Target="../ctrlProps/ctrlProp2.xml"/><Relationship Id="rId7" Type="http://schemas.openxmlformats.org/officeDocument/2006/relationships/table" Target="../tables/table38.xml"/><Relationship Id="rId2" Type="http://schemas.openxmlformats.org/officeDocument/2006/relationships/vmlDrawing" Target="../drawings/vmlDrawing2.vml"/><Relationship Id="rId1" Type="http://schemas.openxmlformats.org/officeDocument/2006/relationships/drawing" Target="../drawings/drawing2.xml"/><Relationship Id="rId6" Type="http://schemas.openxmlformats.org/officeDocument/2006/relationships/ctrlProp" Target="../ctrlProps/ctrlProp5.xml"/><Relationship Id="rId5" Type="http://schemas.openxmlformats.org/officeDocument/2006/relationships/ctrlProp" Target="../ctrlProps/ctrlProp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L810"/>
  <sheetViews>
    <sheetView tabSelected="1" zoomScaleSheetLayoutView="100" workbookViewId="0">
      <selection activeCell="L781" sqref="L781"/>
    </sheetView>
  </sheetViews>
  <sheetFormatPr baseColWidth="10" defaultColWidth="9.140625" defaultRowHeight="14.1" customHeight="1" x14ac:dyDescent="0.25"/>
  <cols>
    <col min="1" max="1" width="24.28515625" style="26" customWidth="1"/>
    <col min="2" max="2" width="46.42578125" style="26" customWidth="1"/>
    <col min="3" max="3" width="19" style="26" customWidth="1"/>
    <col min="4" max="4" width="24" style="26" customWidth="1"/>
    <col min="5" max="6" width="24.28515625" style="26" customWidth="1"/>
    <col min="7" max="8" width="9.140625" style="26" hidden="1" customWidth="1"/>
    <col min="9" max="9" width="11.5703125" style="26" hidden="1" customWidth="1"/>
    <col min="10" max="10" width="7.42578125" style="26" customWidth="1"/>
    <col min="11" max="11" width="14.28515625" style="26" customWidth="1"/>
    <col min="12" max="12" width="22.5703125" style="26" customWidth="1"/>
    <col min="13" max="13" width="72.85546875" style="26" customWidth="1"/>
    <col min="14" max="14" width="14.28515625" style="26" customWidth="1"/>
    <col min="15" max="15" width="9.140625" style="26" customWidth="1"/>
    <col min="16" max="16384" width="9.140625" style="26"/>
  </cols>
  <sheetData>
    <row r="1" spans="1:12" s="3" customFormat="1" ht="18" x14ac:dyDescent="0.25">
      <c r="A1" s="69"/>
      <c r="B1" s="39"/>
      <c r="C1" s="27"/>
      <c r="D1" s="27"/>
      <c r="E1" s="1"/>
      <c r="F1" s="39"/>
      <c r="G1" s="2"/>
      <c r="H1" s="28"/>
      <c r="I1" s="28"/>
      <c r="J1" s="10"/>
      <c r="K1" s="10"/>
      <c r="L1" s="10"/>
    </row>
    <row r="2" spans="1:12" s="3" customFormat="1" ht="18" x14ac:dyDescent="0.25">
      <c r="A2" s="69"/>
      <c r="B2" s="72" t="s">
        <v>51</v>
      </c>
      <c r="C2" s="72"/>
      <c r="D2" s="72"/>
      <c r="E2" s="72"/>
      <c r="F2" s="46"/>
      <c r="G2" s="10"/>
    </row>
    <row r="3" spans="1:12" s="3" customFormat="1" ht="18" x14ac:dyDescent="0.25">
      <c r="A3" s="69"/>
      <c r="B3" s="73" t="str">
        <f>"AÑO "&amp;E11</f>
        <v>AÑO 2020</v>
      </c>
      <c r="C3" s="73"/>
      <c r="D3" s="73"/>
      <c r="E3" s="73"/>
      <c r="F3" s="47"/>
      <c r="G3" s="10"/>
    </row>
    <row r="4" spans="1:12" s="3" customFormat="1" ht="18" x14ac:dyDescent="0.25">
      <c r="A4" s="69"/>
      <c r="B4" s="39"/>
      <c r="C4" s="39"/>
      <c r="D4" s="39"/>
      <c r="E4" s="29"/>
      <c r="F4" s="39"/>
      <c r="G4" s="10"/>
    </row>
    <row r="5" spans="1:12" s="3" customFormat="1" ht="20.25" x14ac:dyDescent="0.25">
      <c r="A5" s="38"/>
      <c r="B5" s="38"/>
      <c r="C5" s="30"/>
      <c r="D5" s="30"/>
      <c r="E5" s="30"/>
      <c r="F5" s="30"/>
      <c r="G5" s="36"/>
    </row>
    <row r="6" spans="1:12" s="40" customFormat="1" ht="13.5" x14ac:dyDescent="0.25">
      <c r="A6" s="31" t="s">
        <v>441</v>
      </c>
      <c r="B6" s="41"/>
      <c r="C6" s="32"/>
      <c r="D6" s="43" t="s">
        <v>226</v>
      </c>
      <c r="E6" s="70" t="s">
        <v>595</v>
      </c>
      <c r="F6" s="71"/>
    </row>
    <row r="7" spans="1:12" s="40" customFormat="1" ht="13.5" x14ac:dyDescent="0.25">
      <c r="A7" s="33" t="s">
        <v>734</v>
      </c>
      <c r="B7" s="41"/>
      <c r="C7" s="41"/>
      <c r="D7" s="43" t="s">
        <v>454</v>
      </c>
      <c r="E7" s="70" t="s">
        <v>693</v>
      </c>
      <c r="F7" s="71"/>
    </row>
    <row r="8" spans="1:12" s="40" customFormat="1" ht="13.5" x14ac:dyDescent="0.25">
      <c r="A8" s="41"/>
      <c r="B8" s="41"/>
      <c r="C8" s="41"/>
      <c r="D8" s="43" t="s">
        <v>532</v>
      </c>
      <c r="E8" s="70" t="s">
        <v>784</v>
      </c>
      <c r="F8" s="71"/>
    </row>
    <row r="9" spans="1:12" s="40" customFormat="1" ht="13.5" x14ac:dyDescent="0.25">
      <c r="A9" s="35" t="s">
        <v>158</v>
      </c>
      <c r="B9" s="45">
        <f ca="1">COUNTIFS(TotalEstColumnName,"="&amp;TotalEstLabel,TotalEstColumnValue,"&gt;0")</f>
        <v>37</v>
      </c>
      <c r="C9" s="41"/>
      <c r="D9" s="43" t="s">
        <v>302</v>
      </c>
      <c r="E9" s="70" t="s">
        <v>837</v>
      </c>
      <c r="F9" s="71"/>
    </row>
    <row r="10" spans="1:12" s="40" customFormat="1" ht="13.5" x14ac:dyDescent="0.25">
      <c r="A10" s="37" t="s">
        <v>776</v>
      </c>
      <c r="B10" s="44">
        <f ca="1">SUMIF(TotalEstColumnName,"="&amp;TotalEstLabel,TotalEstColumnValue)</f>
        <v>31894179</v>
      </c>
      <c r="C10" s="41"/>
      <c r="D10" s="43" t="s">
        <v>683</v>
      </c>
      <c r="E10" s="70" t="s">
        <v>709</v>
      </c>
      <c r="F10" s="71"/>
    </row>
    <row r="11" spans="1:12" s="40" customFormat="1" ht="13.5" x14ac:dyDescent="0.25">
      <c r="A11" s="36"/>
      <c r="B11" s="36"/>
      <c r="C11" s="41"/>
      <c r="D11" s="43" t="s">
        <v>135</v>
      </c>
      <c r="E11" s="74" t="s">
        <v>811</v>
      </c>
      <c r="F11" s="75"/>
    </row>
    <row r="12" spans="1:12" s="40" customFormat="1" ht="13.5" x14ac:dyDescent="0.25">
      <c r="A12" s="34"/>
      <c r="B12" s="34"/>
      <c r="C12" s="34"/>
      <c r="D12" s="43" t="s">
        <v>138</v>
      </c>
      <c r="E12" s="76" t="s">
        <v>296</v>
      </c>
      <c r="F12" s="77"/>
    </row>
    <row r="15" spans="1:12" ht="33.950000000000003" customHeight="1" x14ac:dyDescent="0.25">
      <c r="A15" s="48" t="s">
        <v>745</v>
      </c>
      <c r="B15" s="48" t="s">
        <v>7</v>
      </c>
      <c r="C15" s="48" t="s">
        <v>533</v>
      </c>
      <c r="D15" s="48" t="s">
        <v>668</v>
      </c>
      <c r="E15" s="48" t="s">
        <v>495</v>
      </c>
      <c r="F15" s="48" t="s">
        <v>506</v>
      </c>
    </row>
    <row r="16" spans="1:12" ht="14.1" customHeight="1" x14ac:dyDescent="0.25">
      <c r="A16" s="50" t="s">
        <v>650</v>
      </c>
      <c r="B16" s="50" t="s">
        <v>96</v>
      </c>
      <c r="C16" s="50" t="s">
        <v>809</v>
      </c>
      <c r="D16" s="50" t="s">
        <v>74</v>
      </c>
      <c r="E16" s="50" t="s">
        <v>810</v>
      </c>
      <c r="F16" s="50"/>
    </row>
    <row r="17" spans="1:9" ht="14.1" customHeight="1" x14ac:dyDescent="0.25">
      <c r="A17" s="67" t="s">
        <v>688</v>
      </c>
      <c r="B17" s="51" t="s">
        <v>372</v>
      </c>
      <c r="C17" s="60">
        <v>44096</v>
      </c>
      <c r="D17" s="67" t="s">
        <v>418</v>
      </c>
      <c r="E17" s="62" t="s">
        <v>613</v>
      </c>
      <c r="F17" s="63" t="s">
        <v>122</v>
      </c>
    </row>
    <row r="18" spans="1:9" ht="14.1" customHeight="1" x14ac:dyDescent="0.25">
      <c r="A18" s="68"/>
      <c r="B18" s="51" t="s">
        <v>72</v>
      </c>
      <c r="C18" s="61">
        <f>IF(C17="","",IF(AND(MONTH(C17)&gt;=1,MONTH(C17)&lt;=3),1,IF(AND(MONTH(C17)&gt;=4,MONTH(C17)&lt;=6),2,IF(AND(MONTH(C17)&gt;=7,MONTH(C17)&lt;=9),3,4))))</f>
        <v>3</v>
      </c>
      <c r="D18" s="68"/>
      <c r="E18" s="62" t="s">
        <v>91</v>
      </c>
      <c r="F18" s="63" t="s">
        <v>670</v>
      </c>
    </row>
    <row r="19" spans="1:9" ht="14.1" customHeight="1" x14ac:dyDescent="0.25">
      <c r="A19" s="68"/>
      <c r="B19" s="51" t="s">
        <v>602</v>
      </c>
      <c r="C19" s="60">
        <v>44104</v>
      </c>
      <c r="D19" s="68"/>
      <c r="E19" s="62" t="s">
        <v>121</v>
      </c>
      <c r="F19" s="63" t="s">
        <v>195</v>
      </c>
    </row>
    <row r="20" spans="1:9" ht="14.1" customHeight="1" x14ac:dyDescent="0.25">
      <c r="A20" s="68"/>
      <c r="B20" s="51" t="s">
        <v>72</v>
      </c>
      <c r="C20" s="61">
        <f>IF(C19="","",IF(AND(MONTH(C19)&gt;=1,MONTH(C19)&lt;=3),1,IF(AND(MONTH(C19)&gt;=4,MONTH(C19)&lt;=6),2,IF(AND(MONTH(C19)&gt;=7,MONTH(C19)&lt;=9),3,4))))</f>
        <v>3</v>
      </c>
      <c r="D20" s="68"/>
      <c r="E20" s="62" t="s">
        <v>618</v>
      </c>
      <c r="F20" s="63"/>
    </row>
    <row r="22" spans="1:9" ht="14.1" customHeight="1" x14ac:dyDescent="0.25">
      <c r="A22" s="56" t="s">
        <v>724</v>
      </c>
      <c r="B22" s="56" t="s">
        <v>736</v>
      </c>
      <c r="C22" s="56" t="s">
        <v>718</v>
      </c>
      <c r="D22" s="56" t="s">
        <v>701</v>
      </c>
      <c r="E22" s="56" t="s">
        <v>308</v>
      </c>
      <c r="F22" s="56" t="s">
        <v>703</v>
      </c>
    </row>
    <row r="23" spans="1:9" ht="14.1" customHeight="1" x14ac:dyDescent="0.25">
      <c r="A23" s="64" t="s">
        <v>589</v>
      </c>
      <c r="B23" s="53" t="str">
        <f ca="1">IFERROR(INDEX(UNSPSCDes,MATCH(INDIRECT(ADDRESS(ROW(),COLUMN()-1,4)),UNSPSCCode,0)),IF(INDIRECT(ADDRESS(ROW(),COLUMN()-1,4))="15101506","Gasolina",""))</f>
        <v>Gasolina</v>
      </c>
      <c r="C23" s="65" t="str">
        <f>IFERROR(VLOOKUP("UD",'Informacion '!P:Q,2,FALSE),"")</f>
        <v>Unidad</v>
      </c>
      <c r="D23" s="64">
        <v>1000</v>
      </c>
      <c r="E23" s="55">
        <v>300</v>
      </c>
      <c r="F23" s="54">
        <f ca="1">INDIRECT(ADDRESS(ROW(),COLUMN()-2,4))*INDIRECT(ADDRESS(ROW(),COLUMN()-1,4))</f>
        <v>300000</v>
      </c>
    </row>
    <row r="24" spans="1:9" ht="14.1" customHeight="1" x14ac:dyDescent="0.25">
      <c r="A24" s="64" t="s">
        <v>589</v>
      </c>
      <c r="B24" s="53" t="str">
        <f ca="1">IFERROR(INDEX(UNSPSCDes,MATCH(INDIRECT(ADDRESS(ROW(),COLUMN()-1,4)),UNSPSCCode,0)),IF(INDIRECT(ADDRESS(ROW(),COLUMN()-1,4))="15101506","Gasolina",""))</f>
        <v>Gasolina</v>
      </c>
      <c r="C24" s="65" t="str">
        <f>IFERROR(VLOOKUP("UD",'Informacion '!P:Q,2,FALSE),"")</f>
        <v>Unidad</v>
      </c>
      <c r="D24" s="64">
        <v>1000</v>
      </c>
      <c r="E24" s="55">
        <v>200</v>
      </c>
      <c r="F24" s="54">
        <f ca="1">INDIRECT(ADDRESS(ROW(),COLUMN()-2,4))*INDIRECT(ADDRESS(ROW(),COLUMN()-1,4))</f>
        <v>200000</v>
      </c>
    </row>
    <row r="25" spans="1:9" ht="14.1" customHeight="1" x14ac:dyDescent="0.25">
      <c r="A25" s="64" t="s">
        <v>589</v>
      </c>
      <c r="B25" s="53" t="str">
        <f ca="1">IFERROR(INDEX(UNSPSCDes,MATCH(INDIRECT(ADDRESS(ROW(),COLUMN()-1,4)),UNSPSCCode,0)),IF(INDIRECT(ADDRESS(ROW(),COLUMN()-1,4))="15101506","Gasolina",""))</f>
        <v>Gasolina</v>
      </c>
      <c r="C25" s="65" t="str">
        <f>IFERROR(VLOOKUP("UD",'Informacion '!P:Q,2,FALSE),"")</f>
        <v>Unidad</v>
      </c>
      <c r="D25" s="64">
        <v>1000</v>
      </c>
      <c r="E25" s="55">
        <v>500</v>
      </c>
      <c r="F25" s="54">
        <f ca="1">INDIRECT(ADDRESS(ROW(),COLUMN()-2,4))*INDIRECT(ADDRESS(ROW(),COLUMN()-1,4))</f>
        <v>500000</v>
      </c>
    </row>
    <row r="26" spans="1:9" ht="14.1" customHeight="1" x14ac:dyDescent="0.25">
      <c r="A26" s="64" t="s">
        <v>194</v>
      </c>
      <c r="B26" s="53" t="str">
        <f ca="1">IFERROR(INDEX(UNSPSCDes,MATCH(INDIRECT(ADDRESS(ROW(),COLUMN()-1,4)),UNSPSCCode,0)),IF(INDIRECT(ADDRESS(ROW(),COLUMN()-1,4))="15101505","Combustible diesel",""))</f>
        <v>Combustible diesel</v>
      </c>
      <c r="C26" s="65" t="str">
        <f>IFERROR(VLOOKUP("GAL",'Informacion '!P:Q,2,FALSE),"")</f>
        <v>Galón</v>
      </c>
      <c r="D26" s="64">
        <v>4000</v>
      </c>
      <c r="E26" s="55">
        <v>200</v>
      </c>
      <c r="F26" s="54">
        <f ca="1">INDIRECT(ADDRESS(ROW(),COLUMN()-2,4))*INDIRECT(ADDRESS(ROW(),COLUMN()-1,4))</f>
        <v>800000</v>
      </c>
    </row>
    <row r="27" spans="1:9" ht="14.1" customHeight="1" x14ac:dyDescent="0.25">
      <c r="E27" s="66" t="s">
        <v>581</v>
      </c>
      <c r="F27" s="58">
        <f ca="1">SUM(Table4[MONTO TOTAL ESTIMADO])</f>
        <v>1800000</v>
      </c>
      <c r="G27" s="26" t="str">
        <f>C16</f>
        <v>Bienes</v>
      </c>
      <c r="H27" s="26" t="str">
        <f>E16</f>
        <v>No</v>
      </c>
      <c r="I27" s="26" t="str">
        <f>D16</f>
        <v>Comparacion de Precios</v>
      </c>
    </row>
    <row r="29" spans="1:9" ht="33.950000000000003" customHeight="1" x14ac:dyDescent="0.25">
      <c r="A29" s="48" t="s">
        <v>745</v>
      </c>
      <c r="B29" s="48" t="s">
        <v>7</v>
      </c>
      <c r="C29" s="48" t="s">
        <v>533</v>
      </c>
      <c r="D29" s="48" t="s">
        <v>668</v>
      </c>
      <c r="E29" s="48" t="s">
        <v>495</v>
      </c>
      <c r="F29" s="48" t="s">
        <v>506</v>
      </c>
    </row>
    <row r="30" spans="1:9" ht="14.1" customHeight="1" x14ac:dyDescent="0.25">
      <c r="A30" s="50" t="s">
        <v>633</v>
      </c>
      <c r="B30" s="50" t="s">
        <v>367</v>
      </c>
      <c r="C30" s="50" t="s">
        <v>809</v>
      </c>
      <c r="D30" s="50" t="s">
        <v>792</v>
      </c>
      <c r="E30" s="50" t="s">
        <v>810</v>
      </c>
      <c r="F30" s="50"/>
    </row>
    <row r="31" spans="1:9" ht="14.1" customHeight="1" x14ac:dyDescent="0.25">
      <c r="A31" s="67" t="s">
        <v>688</v>
      </c>
      <c r="B31" s="51" t="s">
        <v>372</v>
      </c>
      <c r="C31" s="60">
        <v>43867</v>
      </c>
      <c r="D31" s="67" t="s">
        <v>418</v>
      </c>
      <c r="E31" s="62" t="s">
        <v>613</v>
      </c>
      <c r="F31" s="63" t="s">
        <v>122</v>
      </c>
    </row>
    <row r="32" spans="1:9" ht="14.1" customHeight="1" x14ac:dyDescent="0.25">
      <c r="A32" s="68"/>
      <c r="B32" s="51" t="s">
        <v>72</v>
      </c>
      <c r="C32" s="61">
        <f>IF(C31="","",IF(AND(MONTH(C31)&gt;=1,MONTH(C31)&lt;=3),1,IF(AND(MONTH(C31)&gt;=4,MONTH(C31)&lt;=6),2,IF(AND(MONTH(C31)&gt;=7,MONTH(C31)&lt;=9),3,4))))</f>
        <v>1</v>
      </c>
      <c r="D32" s="68"/>
      <c r="E32" s="62" t="s">
        <v>91</v>
      </c>
      <c r="F32" s="63"/>
    </row>
    <row r="33" spans="1:9" ht="14.1" customHeight="1" x14ac:dyDescent="0.25">
      <c r="A33" s="68"/>
      <c r="B33" s="51" t="s">
        <v>602</v>
      </c>
      <c r="C33" s="60">
        <v>43873</v>
      </c>
      <c r="D33" s="68"/>
      <c r="E33" s="62" t="s">
        <v>121</v>
      </c>
      <c r="F33" s="63"/>
    </row>
    <row r="34" spans="1:9" ht="14.1" customHeight="1" x14ac:dyDescent="0.25">
      <c r="A34" s="68"/>
      <c r="B34" s="51" t="s">
        <v>72</v>
      </c>
      <c r="C34" s="61">
        <f>IF(C33="","",IF(AND(MONTH(C33)&gt;=1,MONTH(C33)&lt;=3),1,IF(AND(MONTH(C33)&gt;=4,MONTH(C33)&lt;=6),2,IF(AND(MONTH(C33)&gt;=7,MONTH(C33)&lt;=9),3,4))))</f>
        <v>1</v>
      </c>
      <c r="D34" s="68"/>
      <c r="E34" s="62" t="s">
        <v>618</v>
      </c>
      <c r="F34" s="63"/>
    </row>
    <row r="36" spans="1:9" ht="14.1" customHeight="1" x14ac:dyDescent="0.25">
      <c r="A36" s="56" t="s">
        <v>724</v>
      </c>
      <c r="B36" s="56" t="s">
        <v>736</v>
      </c>
      <c r="C36" s="56" t="s">
        <v>718</v>
      </c>
      <c r="D36" s="56" t="s">
        <v>701</v>
      </c>
      <c r="E36" s="56" t="s">
        <v>308</v>
      </c>
      <c r="F36" s="56" t="s">
        <v>703</v>
      </c>
    </row>
    <row r="37" spans="1:9" ht="14.1" customHeight="1" x14ac:dyDescent="0.25">
      <c r="A37" s="64" t="s">
        <v>355</v>
      </c>
      <c r="B37" s="53" t="str">
        <f ca="1">IFERROR(INDEX(UNSPSCDes,MATCH(INDIRECT(ADDRESS(ROW(),COLUMN()-1,4)),UNSPSCCode,0)),IF(INDIRECT(ADDRESS(ROW(),COLUMN()-1,4))="50101538","Verduras frescas",""))</f>
        <v>Verduras frescas</v>
      </c>
      <c r="C37" s="65" t="str">
        <f>IFERROR(VLOOKUP("UD",'Informacion '!P:Q,2,FALSE),"")</f>
        <v>Unidad</v>
      </c>
      <c r="D37" s="64">
        <v>1</v>
      </c>
      <c r="E37" s="55">
        <v>450000</v>
      </c>
      <c r="F37" s="54">
        <f ca="1">INDIRECT(ADDRESS(ROW(),COLUMN()-2,4))*INDIRECT(ADDRESS(ROW(),COLUMN()-1,4))</f>
        <v>450000</v>
      </c>
    </row>
    <row r="38" spans="1:9" ht="14.1" customHeight="1" x14ac:dyDescent="0.25">
      <c r="A38" s="64" t="s">
        <v>843</v>
      </c>
      <c r="B38" s="53" t="str">
        <f ca="1">IFERROR(INDEX(UNSPSCDes,MATCH(INDIRECT(ADDRESS(ROW(),COLUMN()-1,4)),UNSPSCCode,0)),IF(INDIRECT(ADDRESS(ROW(),COLUMN()-1,4))="50101634","Fruta fresca",""))</f>
        <v>Fruta fresca</v>
      </c>
      <c r="C38" s="65" t="str">
        <f>IFERROR(VLOOKUP("UD",'Informacion '!P:Q,2,FALSE),"")</f>
        <v>Unidad</v>
      </c>
      <c r="D38" s="64">
        <v>1</v>
      </c>
      <c r="E38" s="55">
        <v>350000</v>
      </c>
      <c r="F38" s="54">
        <f ca="1">INDIRECT(ADDRESS(ROW(),COLUMN()-2,4))*INDIRECT(ADDRESS(ROW(),COLUMN()-1,4))</f>
        <v>350000</v>
      </c>
    </row>
    <row r="39" spans="1:9" ht="14.1" customHeight="1" x14ac:dyDescent="0.25">
      <c r="E39" s="66" t="s">
        <v>581</v>
      </c>
      <c r="F39" s="58">
        <f ca="1">SUM(Table5[MONTO TOTAL ESTIMADO])</f>
        <v>800000</v>
      </c>
      <c r="G39" s="26" t="str">
        <f>C30</f>
        <v>Bienes</v>
      </c>
      <c r="H39" s="26" t="str">
        <f>E30</f>
        <v>No</v>
      </c>
      <c r="I39" s="26" t="str">
        <f>D30</f>
        <v>Compras Menores</v>
      </c>
    </row>
    <row r="41" spans="1:9" ht="33.950000000000003" customHeight="1" x14ac:dyDescent="0.25">
      <c r="A41" s="48" t="s">
        <v>745</v>
      </c>
      <c r="B41" s="48" t="s">
        <v>7</v>
      </c>
      <c r="C41" s="48" t="s">
        <v>533</v>
      </c>
      <c r="D41" s="48" t="s">
        <v>668</v>
      </c>
      <c r="E41" s="48" t="s">
        <v>495</v>
      </c>
      <c r="F41" s="48" t="s">
        <v>506</v>
      </c>
    </row>
    <row r="42" spans="1:9" ht="14.1" customHeight="1" x14ac:dyDescent="0.25">
      <c r="A42" s="50" t="s">
        <v>363</v>
      </c>
      <c r="B42" s="50" t="s">
        <v>306</v>
      </c>
      <c r="C42" s="50" t="s">
        <v>809</v>
      </c>
      <c r="D42" s="50" t="s">
        <v>792</v>
      </c>
      <c r="E42" s="50" t="s">
        <v>810</v>
      </c>
      <c r="F42" s="50" t="s">
        <v>296</v>
      </c>
    </row>
    <row r="43" spans="1:9" ht="14.1" customHeight="1" x14ac:dyDescent="0.25">
      <c r="A43" s="67" t="s">
        <v>688</v>
      </c>
      <c r="B43" s="51" t="s">
        <v>372</v>
      </c>
      <c r="C43" s="60">
        <v>43885</v>
      </c>
      <c r="D43" s="67" t="s">
        <v>418</v>
      </c>
      <c r="E43" s="62" t="s">
        <v>613</v>
      </c>
      <c r="F43" s="63" t="s">
        <v>122</v>
      </c>
    </row>
    <row r="44" spans="1:9" ht="14.1" customHeight="1" x14ac:dyDescent="0.25">
      <c r="A44" s="68"/>
      <c r="B44" s="51" t="s">
        <v>72</v>
      </c>
      <c r="C44" s="61">
        <f>IF(C43="","",IF(AND(MONTH(C43)&gt;=1,MONTH(C43)&lt;=3),1,IF(AND(MONTH(C43)&gt;=4,MONTH(C43)&lt;=6),2,IF(AND(MONTH(C43)&gt;=7,MONTH(C43)&lt;=9),3,4))))</f>
        <v>1</v>
      </c>
      <c r="D44" s="68"/>
      <c r="E44" s="62" t="s">
        <v>91</v>
      </c>
      <c r="F44" s="63" t="s">
        <v>670</v>
      </c>
    </row>
    <row r="45" spans="1:9" ht="14.1" customHeight="1" x14ac:dyDescent="0.25">
      <c r="A45" s="68"/>
      <c r="B45" s="51" t="s">
        <v>602</v>
      </c>
      <c r="C45" s="60">
        <v>43892</v>
      </c>
      <c r="D45" s="68"/>
      <c r="E45" s="62" t="s">
        <v>121</v>
      </c>
      <c r="F45" s="63" t="s">
        <v>195</v>
      </c>
    </row>
    <row r="46" spans="1:9" ht="14.1" customHeight="1" x14ac:dyDescent="0.25">
      <c r="A46" s="68"/>
      <c r="B46" s="51" t="s">
        <v>72</v>
      </c>
      <c r="C46" s="61">
        <f>IF(C45="","",IF(AND(MONTH(C45)&gt;=1,MONTH(C45)&lt;=3),1,IF(AND(MONTH(C45)&gt;=4,MONTH(C45)&lt;=6),2,IF(AND(MONTH(C45)&gt;=7,MONTH(C45)&lt;=9),3,4))))</f>
        <v>1</v>
      </c>
      <c r="D46" s="68"/>
      <c r="E46" s="62" t="s">
        <v>618</v>
      </c>
      <c r="F46" s="63"/>
    </row>
    <row r="48" spans="1:9" ht="14.1" customHeight="1" x14ac:dyDescent="0.25">
      <c r="A48" s="56" t="s">
        <v>724</v>
      </c>
      <c r="B48" s="56" t="s">
        <v>736</v>
      </c>
      <c r="C48" s="56" t="s">
        <v>718</v>
      </c>
      <c r="D48" s="56" t="s">
        <v>701</v>
      </c>
      <c r="E48" s="56" t="s">
        <v>308</v>
      </c>
      <c r="F48" s="56" t="s">
        <v>703</v>
      </c>
    </row>
    <row r="49" spans="1:6" ht="14.1" customHeight="1" x14ac:dyDescent="0.25">
      <c r="A49" s="64" t="s">
        <v>253</v>
      </c>
      <c r="B49" s="53" t="str">
        <f ca="1">IFERROR(INDEX(UNSPSCDes,MATCH(INDIRECT(ADDRESS(ROW(),COLUMN()-1,4)),UNSPSCCode,0)),IF(INDIRECT(ADDRESS(ROW(),COLUMN()-1,4))="12141901","Cloro cl",""))</f>
        <v>Cloro cl</v>
      </c>
      <c r="C49" s="65" t="str">
        <f>IFERROR(VLOOKUP("UD",'Informacion '!P:Q,2,FALSE),"")</f>
        <v>Unidad</v>
      </c>
      <c r="D49" s="64">
        <v>2</v>
      </c>
      <c r="E49" s="55">
        <v>4000</v>
      </c>
      <c r="F49" s="54">
        <f t="shared" ref="F49:F79" ca="1" si="0">INDIRECT(ADDRESS(ROW(),COLUMN()-2,4))*INDIRECT(ADDRESS(ROW(),COLUMN()-1,4))</f>
        <v>8000</v>
      </c>
    </row>
    <row r="50" spans="1:6" ht="14.1" customHeight="1" x14ac:dyDescent="0.25">
      <c r="A50" s="64" t="s">
        <v>587</v>
      </c>
      <c r="B50" s="53" t="str">
        <f ca="1">IFERROR(INDEX(UNSPSCDes,MATCH(INDIRECT(ADDRESS(ROW(),COLUMN()-1,4)),UNSPSCCode,0)),IF(INDIRECT(ADDRESS(ROW(),COLUMN()-1,4))="47131803","Desinfectantes para uso doméstico",""))</f>
        <v>Desinfectantes para uso doméstico</v>
      </c>
      <c r="C50" s="65" t="str">
        <f>IFERROR(VLOOKUP("UD",'Informacion '!P:Q,2,FALSE),"")</f>
        <v>Unidad</v>
      </c>
      <c r="D50" s="64">
        <v>3</v>
      </c>
      <c r="E50" s="55">
        <v>4500</v>
      </c>
      <c r="F50" s="54">
        <f t="shared" ca="1" si="0"/>
        <v>13500</v>
      </c>
    </row>
    <row r="51" spans="1:6" ht="14.1" customHeight="1" x14ac:dyDescent="0.25">
      <c r="A51" s="64" t="s">
        <v>196</v>
      </c>
      <c r="B51" s="53" t="str">
        <f ca="1">IFERROR(INDEX(UNSPSCDes,MATCH(INDIRECT(ADDRESS(ROW(),COLUMN()-1,4)),UNSPSCCode,0)),IF(INDIRECT(ADDRESS(ROW(),COLUMN()-1,4))="24111503","Bolsas plásticas",""))</f>
        <v>Bolsas plásticas</v>
      </c>
      <c r="C51" s="65" t="str">
        <f>IFERROR(VLOOKUP("PAQ",'Informacion '!P:Q,2,FALSE),"")</f>
        <v>Paquete</v>
      </c>
      <c r="D51" s="64">
        <v>20</v>
      </c>
      <c r="E51" s="55">
        <v>700</v>
      </c>
      <c r="F51" s="54">
        <f t="shared" ca="1" si="0"/>
        <v>14000</v>
      </c>
    </row>
    <row r="52" spans="1:6" ht="14.1" customHeight="1" x14ac:dyDescent="0.25">
      <c r="A52" s="64" t="s">
        <v>196</v>
      </c>
      <c r="B52" s="53" t="str">
        <f ca="1">IFERROR(INDEX(UNSPSCDes,MATCH(INDIRECT(ADDRESS(ROW(),COLUMN()-1,4)),UNSPSCCode,0)),IF(INDIRECT(ADDRESS(ROW(),COLUMN()-1,4))="24111503","Bolsas plásticas",""))</f>
        <v>Bolsas plásticas</v>
      </c>
      <c r="C52" s="65" t="str">
        <f>IFERROR(VLOOKUP("PAQ",'Informacion '!P:Q,2,FALSE),"")</f>
        <v>Paquete</v>
      </c>
      <c r="D52" s="64">
        <v>20</v>
      </c>
      <c r="E52" s="55">
        <v>550</v>
      </c>
      <c r="F52" s="54">
        <f t="shared" ca="1" si="0"/>
        <v>11000</v>
      </c>
    </row>
    <row r="53" spans="1:6" ht="14.1" customHeight="1" x14ac:dyDescent="0.25">
      <c r="A53" s="64" t="s">
        <v>46</v>
      </c>
      <c r="B53" s="53" t="str">
        <f ca="1">IFERROR(INDEX(UNSPSCDes,MATCH(INDIRECT(ADDRESS(ROW(),COLUMN()-1,4)),UNSPSCCode,0)),IF(INDIRECT(ADDRESS(ROW(),COLUMN()-1,4))="53131608","Jabones",""))</f>
        <v>Jabones</v>
      </c>
      <c r="C53" s="65" t="str">
        <f>IFERROR(VLOOKUP("CAJ",'Informacion '!P:Q,2,FALSE),"")</f>
        <v>Caja</v>
      </c>
      <c r="D53" s="64">
        <v>4</v>
      </c>
      <c r="E53" s="55">
        <v>2900</v>
      </c>
      <c r="F53" s="54">
        <f t="shared" ca="1" si="0"/>
        <v>11600</v>
      </c>
    </row>
    <row r="54" spans="1:6" ht="14.1" customHeight="1" x14ac:dyDescent="0.25">
      <c r="A54" s="64" t="s">
        <v>46</v>
      </c>
      <c r="B54" s="53" t="str">
        <f ca="1">IFERROR(INDEX(UNSPSCDes,MATCH(INDIRECT(ADDRESS(ROW(),COLUMN()-1,4)),UNSPSCCode,0)),IF(INDIRECT(ADDRESS(ROW(),COLUMN()-1,4))="53131608","Jabones",""))</f>
        <v>Jabones</v>
      </c>
      <c r="C54" s="65" t="str">
        <f>IFERROR(VLOOKUP("GAL",'Informacion '!P:Q,2,FALSE),"")</f>
        <v>Galón</v>
      </c>
      <c r="D54" s="64">
        <v>2</v>
      </c>
      <c r="E54" s="55">
        <v>300</v>
      </c>
      <c r="F54" s="54">
        <f t="shared" ca="1" si="0"/>
        <v>600</v>
      </c>
    </row>
    <row r="55" spans="1:6" ht="14.1" customHeight="1" x14ac:dyDescent="0.25">
      <c r="A55" s="64" t="s">
        <v>356</v>
      </c>
      <c r="B55" s="53" t="str">
        <f ca="1">IFERROR(INDEX(UNSPSCDes,MATCH(INDIRECT(ADDRESS(ROW(),COLUMN()-1,4)),UNSPSCCode,0)),IF(INDIRECT(ADDRESS(ROW(),COLUMN()-1,4))="14111703","Toallas de papel",""))</f>
        <v>Toallas de papel</v>
      </c>
      <c r="C55" s="65" t="str">
        <f>IFERROR(VLOOKUP("CAJ",'Informacion '!P:Q,2,FALSE),"")</f>
        <v>Caja</v>
      </c>
      <c r="D55" s="64">
        <v>60</v>
      </c>
      <c r="E55" s="55">
        <v>1000</v>
      </c>
      <c r="F55" s="54">
        <f t="shared" ca="1" si="0"/>
        <v>60000</v>
      </c>
    </row>
    <row r="56" spans="1:6" ht="14.1" customHeight="1" x14ac:dyDescent="0.25">
      <c r="A56" s="64" t="s">
        <v>207</v>
      </c>
      <c r="B56" s="53" t="str">
        <f ca="1">IFERROR(INDEX(UNSPSCDes,MATCH(INDIRECT(ADDRESS(ROW(),COLUMN()-1,4)),UNSPSCCode,0)),IF(INDIRECT(ADDRESS(ROW(),COLUMN()-1,4))="14111704","Papel higiénico",""))</f>
        <v>Papel higiénico</v>
      </c>
      <c r="C56" s="65" t="str">
        <f>IFERROR(VLOOKUP("CAJ",'Informacion '!P:Q,2,FALSE),"")</f>
        <v>Caja</v>
      </c>
      <c r="D56" s="64">
        <v>50</v>
      </c>
      <c r="E56" s="55">
        <v>1500</v>
      </c>
      <c r="F56" s="54">
        <f t="shared" ca="1" si="0"/>
        <v>75000</v>
      </c>
    </row>
    <row r="57" spans="1:6" ht="14.1" customHeight="1" x14ac:dyDescent="0.25">
      <c r="A57" s="64" t="s">
        <v>752</v>
      </c>
      <c r="B57" s="53" t="str">
        <f ca="1">IFERROR(INDEX(UNSPSCDes,MATCH(INDIRECT(ADDRESS(ROW(),COLUMN()-1,4)),UNSPSCCode,0)),IF(INDIRECT(ADDRESS(ROW(),COLUMN()-1,4))="12161902","Surfactantes detergentes",""))</f>
        <v>Surfactantes detergentes</v>
      </c>
      <c r="C57" s="65" t="str">
        <f>IFERROR(VLOOKUP("GAL",'Informacion '!P:Q,2,FALSE),"")</f>
        <v>Galón</v>
      </c>
      <c r="D57" s="64">
        <v>24</v>
      </c>
      <c r="E57" s="55">
        <v>250</v>
      </c>
      <c r="F57" s="54">
        <f t="shared" ca="1" si="0"/>
        <v>6000</v>
      </c>
    </row>
    <row r="58" spans="1:6" ht="14.1" customHeight="1" x14ac:dyDescent="0.25">
      <c r="A58" s="64" t="s">
        <v>87</v>
      </c>
      <c r="B58" s="53" t="str">
        <f ca="1">IFERROR(INDEX(UNSPSCDes,MATCH(INDIRECT(ADDRESS(ROW(),COLUMN()-1,4)),UNSPSCCode,0)),IF(INDIRECT(ADDRESS(ROW(),COLUMN()-1,4))="47131605","Cepillos de limpieza",""))</f>
        <v>Cepillos de limpieza</v>
      </c>
      <c r="C58" s="65" t="str">
        <f>IFERROR(VLOOKUP("UD",'Informacion '!P:Q,2,FALSE),"")</f>
        <v>Unidad</v>
      </c>
      <c r="D58" s="64">
        <v>50</v>
      </c>
      <c r="E58" s="55">
        <v>70</v>
      </c>
      <c r="F58" s="54">
        <f t="shared" ca="1" si="0"/>
        <v>3500</v>
      </c>
    </row>
    <row r="59" spans="1:6" ht="14.1" customHeight="1" x14ac:dyDescent="0.25">
      <c r="A59" s="64" t="s">
        <v>205</v>
      </c>
      <c r="B59" s="53" t="str">
        <f ca="1">IFERROR(INDEX(UNSPSCDes,MATCH(INDIRECT(ADDRESS(ROW(),COLUMN()-1,4)),UNSPSCCode,0)),IF(INDIRECT(ADDRESS(ROW(),COLUMN()-1,4))="47131829","Limpiadores de baños",""))</f>
        <v>Limpiadores de baños</v>
      </c>
      <c r="C59" s="65" t="str">
        <f>IFERROR(VLOOKUP("PAQ",'Informacion '!P:Q,2,FALSE),"")</f>
        <v>Paquete</v>
      </c>
      <c r="D59" s="64">
        <v>4</v>
      </c>
      <c r="E59" s="55">
        <v>1900</v>
      </c>
      <c r="F59" s="54">
        <f t="shared" ca="1" si="0"/>
        <v>7600</v>
      </c>
    </row>
    <row r="60" spans="1:6" ht="14.1" customHeight="1" x14ac:dyDescent="0.25">
      <c r="A60" s="64" t="s">
        <v>290</v>
      </c>
      <c r="B60" s="53" t="str">
        <f ca="1">IFERROR(INDEX(UNSPSCDes,MATCH(INDIRECT(ADDRESS(ROW(),COLUMN()-1,4)),UNSPSCCode,0)),IF(INDIRECT(ADDRESS(ROW(),COLUMN()-1,4))="47131502","Pañitos o toallas para limpiar",""))</f>
        <v>Pañitos o toallas para limpiar</v>
      </c>
      <c r="C60" s="65" t="str">
        <f>IFERROR(VLOOKUP("PAQ",'Informacion '!P:Q,2,FALSE),"")</f>
        <v>Paquete</v>
      </c>
      <c r="D60" s="64">
        <v>3</v>
      </c>
      <c r="E60" s="55">
        <v>1200</v>
      </c>
      <c r="F60" s="54">
        <f t="shared" ca="1" si="0"/>
        <v>3600</v>
      </c>
    </row>
    <row r="61" spans="1:6" ht="14.1" customHeight="1" x14ac:dyDescent="0.25">
      <c r="A61" s="64" t="s">
        <v>587</v>
      </c>
      <c r="B61" s="53" t="str">
        <f ca="1">IFERROR(INDEX(UNSPSCDes,MATCH(INDIRECT(ADDRESS(ROW(),COLUMN()-1,4)),UNSPSCCode,0)),IF(INDIRECT(ADDRESS(ROW(),COLUMN()-1,4))="47131803","Desinfectantes para uso doméstico",""))</f>
        <v>Desinfectantes para uso doméstico</v>
      </c>
      <c r="C61" s="65" t="str">
        <f>IFERROR(VLOOKUP("UD",'Informacion '!P:Q,2,FALSE),"")</f>
        <v>Unidad</v>
      </c>
      <c r="D61" s="64">
        <v>12</v>
      </c>
      <c r="E61" s="55">
        <v>950</v>
      </c>
      <c r="F61" s="54">
        <f t="shared" ca="1" si="0"/>
        <v>11400</v>
      </c>
    </row>
    <row r="62" spans="1:6" ht="14.1" customHeight="1" x14ac:dyDescent="0.25">
      <c r="A62" s="64" t="s">
        <v>743</v>
      </c>
      <c r="B62" s="53" t="str">
        <f ca="1">IFERROR(INDEX(UNSPSCDes,MATCH(INDIRECT(ADDRESS(ROW(),COLUMN()-1,4)),UNSPSCCode,0)),IF(INDIRECT(ADDRESS(ROW(),COLUMN()-1,4))="47131609","Manijas de escobas o traperos",""))</f>
        <v>Manijas de escobas o traperos</v>
      </c>
      <c r="C62" s="65" t="str">
        <f>IFERROR(VLOOKUP("UD",'Informacion '!P:Q,2,FALSE),"")</f>
        <v>Unidad</v>
      </c>
      <c r="D62" s="64">
        <v>24</v>
      </c>
      <c r="E62" s="55">
        <v>250</v>
      </c>
      <c r="F62" s="54">
        <f t="shared" ca="1" si="0"/>
        <v>6000</v>
      </c>
    </row>
    <row r="63" spans="1:6" ht="14.1" customHeight="1" x14ac:dyDescent="0.25">
      <c r="A63" s="64" t="s">
        <v>39</v>
      </c>
      <c r="B63" s="53" t="str">
        <f ca="1">IFERROR(INDEX(UNSPSCDes,MATCH(INDIRECT(ADDRESS(ROW(),COLUMN()-1,4)),UNSPSCCode,0)),IF(INDIRECT(ADDRESS(ROW(),COLUMN()-1,4))="47131615","Cabezas de escoba",""))</f>
        <v>Cabezas de escoba</v>
      </c>
      <c r="C63" s="65" t="str">
        <f>IFERROR(VLOOKUP("UD",'Informacion '!P:Q,2,FALSE),"")</f>
        <v>Unidad</v>
      </c>
      <c r="D63" s="64">
        <v>24</v>
      </c>
      <c r="E63" s="55">
        <v>150</v>
      </c>
      <c r="F63" s="54">
        <f t="shared" ca="1" si="0"/>
        <v>3600</v>
      </c>
    </row>
    <row r="64" spans="1:6" ht="14.1" customHeight="1" x14ac:dyDescent="0.25">
      <c r="A64" s="64" t="s">
        <v>258</v>
      </c>
      <c r="B64" s="53" t="str">
        <f ca="1">IFERROR(INDEX(UNSPSCDes,MATCH(INDIRECT(ADDRESS(ROW(),COLUMN()-1,4)),UNSPSCCode,0)),IF(INDIRECT(ADDRESS(ROW(),COLUMN()-1,4))="47131602","Almohadillas para restregar",""))</f>
        <v>Almohadillas para restregar</v>
      </c>
      <c r="C64" s="65" t="str">
        <f>IFERROR(VLOOKUP("UD",'Informacion '!P:Q,2,FALSE),"")</f>
        <v>Unidad</v>
      </c>
      <c r="D64" s="64">
        <v>200</v>
      </c>
      <c r="E64" s="55">
        <v>20</v>
      </c>
      <c r="F64" s="54">
        <f t="shared" ca="1" si="0"/>
        <v>4000</v>
      </c>
    </row>
    <row r="65" spans="1:9" ht="14.1" customHeight="1" x14ac:dyDescent="0.25">
      <c r="A65" s="64" t="s">
        <v>258</v>
      </c>
      <c r="B65" s="53" t="str">
        <f ca="1">IFERROR(INDEX(UNSPSCDes,MATCH(INDIRECT(ADDRESS(ROW(),COLUMN()-1,4)),UNSPSCCode,0)),IF(INDIRECT(ADDRESS(ROW(),COLUMN()-1,4))="47131602","Almohadillas para restregar",""))</f>
        <v>Almohadillas para restregar</v>
      </c>
      <c r="C65" s="65" t="str">
        <f>IFERROR(VLOOKUP("UD",'Informacion '!P:Q,2,FALSE),"")</f>
        <v>Unidad</v>
      </c>
      <c r="D65" s="64">
        <v>200</v>
      </c>
      <c r="E65" s="55">
        <v>28</v>
      </c>
      <c r="F65" s="54">
        <f t="shared" ca="1" si="0"/>
        <v>5600</v>
      </c>
    </row>
    <row r="66" spans="1:9" ht="14.1" customHeight="1" x14ac:dyDescent="0.25">
      <c r="A66" s="64" t="s">
        <v>748</v>
      </c>
      <c r="B66" s="53" t="str">
        <f ca="1">IFERROR(INDEX(UNSPSCDes,MATCH(INDIRECT(ADDRESS(ROW(),COLUMN()-1,4)),UNSPSCCode,0)),IF(INDIRECT(ADDRESS(ROW(),COLUMN()-1,4))="31211910","Guantes para pintar",""))</f>
        <v>Guantes para pintar</v>
      </c>
      <c r="C66" s="65" t="str">
        <f>IFERROR(VLOOKUP("UD",'Informacion '!P:Q,2,FALSE),"")</f>
        <v>Unidad</v>
      </c>
      <c r="D66" s="64">
        <v>100</v>
      </c>
      <c r="E66" s="55">
        <v>75</v>
      </c>
      <c r="F66" s="54">
        <f t="shared" ca="1" si="0"/>
        <v>7500</v>
      </c>
    </row>
    <row r="67" spans="1:9" ht="14.1" customHeight="1" x14ac:dyDescent="0.25">
      <c r="A67" s="64" t="s">
        <v>87</v>
      </c>
      <c r="B67" s="53" t="str">
        <f ca="1">IFERROR(INDEX(UNSPSCDes,MATCH(INDIRECT(ADDRESS(ROW(),COLUMN()-1,4)),UNSPSCCode,0)),IF(INDIRECT(ADDRESS(ROW(),COLUMN()-1,4))="47131605","Cepillos de limpieza",""))</f>
        <v>Cepillos de limpieza</v>
      </c>
      <c r="C67" s="65" t="str">
        <f>IFERROR(VLOOKUP("UD",'Informacion '!P:Q,2,FALSE),"")</f>
        <v>Unidad</v>
      </c>
      <c r="D67" s="64">
        <v>50</v>
      </c>
      <c r="E67" s="55">
        <v>90</v>
      </c>
      <c r="F67" s="54">
        <f t="shared" ca="1" si="0"/>
        <v>4500</v>
      </c>
    </row>
    <row r="68" spans="1:9" ht="14.1" customHeight="1" x14ac:dyDescent="0.25">
      <c r="A68" s="64" t="s">
        <v>253</v>
      </c>
      <c r="B68" s="53" t="str">
        <f ca="1">IFERROR(INDEX(UNSPSCDes,MATCH(INDIRECT(ADDRESS(ROW(),COLUMN()-1,4)),UNSPSCCode,0)),IF(INDIRECT(ADDRESS(ROW(),COLUMN()-1,4))="12141901","Cloro cl",""))</f>
        <v>Cloro cl</v>
      </c>
      <c r="C68" s="65" t="str">
        <f>IFERROR(VLOOKUP("UD",'Informacion '!P:Q,2,FALSE),"")</f>
        <v>Unidad</v>
      </c>
      <c r="D68" s="64">
        <v>2</v>
      </c>
      <c r="E68" s="55">
        <v>8000</v>
      </c>
      <c r="F68" s="54">
        <f t="shared" ca="1" si="0"/>
        <v>16000</v>
      </c>
    </row>
    <row r="69" spans="1:9" ht="14.1" customHeight="1" x14ac:dyDescent="0.25">
      <c r="A69" s="64" t="s">
        <v>114</v>
      </c>
      <c r="B69" s="53" t="str">
        <f ca="1">IFERROR(INDEX(UNSPSCDes,MATCH(INDIRECT(ADDRESS(ROW(),COLUMN()-1,4)),UNSPSCCode,0)),IF(INDIRECT(ADDRESS(ROW(),COLUMN()-1,4))="41121813","Cubetas",""))</f>
        <v>Cubetas</v>
      </c>
      <c r="C69" s="65" t="str">
        <f>IFERROR(VLOOKUP("UD",'Informacion '!P:Q,2,FALSE),"")</f>
        <v>Unidad</v>
      </c>
      <c r="D69" s="64">
        <v>4</v>
      </c>
      <c r="E69" s="55">
        <v>2500</v>
      </c>
      <c r="F69" s="54">
        <f t="shared" ca="1" si="0"/>
        <v>10000</v>
      </c>
    </row>
    <row r="70" spans="1:9" ht="14.1" customHeight="1" x14ac:dyDescent="0.25">
      <c r="A70" s="64" t="s">
        <v>114</v>
      </c>
      <c r="B70" s="53" t="str">
        <f ca="1">IFERROR(INDEX(UNSPSCDes,MATCH(INDIRECT(ADDRESS(ROW(),COLUMN()-1,4)),UNSPSCCode,0)),IF(INDIRECT(ADDRESS(ROW(),COLUMN()-1,4))="41121813","Cubetas",""))</f>
        <v>Cubetas</v>
      </c>
      <c r="C70" s="65" t="str">
        <f>IFERROR(VLOOKUP("UD",'Informacion '!P:Q,2,FALSE),"")</f>
        <v>Unidad</v>
      </c>
      <c r="D70" s="64">
        <v>6</v>
      </c>
      <c r="E70" s="55">
        <v>300</v>
      </c>
      <c r="F70" s="54">
        <f t="shared" ca="1" si="0"/>
        <v>1800</v>
      </c>
    </row>
    <row r="71" spans="1:9" ht="14.1" customHeight="1" x14ac:dyDescent="0.25">
      <c r="A71" s="64" t="s">
        <v>93</v>
      </c>
      <c r="B71" s="53" t="str">
        <f ca="1">IFERROR(INDEX(UNSPSCDes,MATCH(INDIRECT(ADDRESS(ROW(),COLUMN()-1,4)),UNSPSCCode,0)),IF(INDIRECT(ADDRESS(ROW(),COLUMN()-1,4))="53111501","Botas para hombre",""))</f>
        <v>Botas para hombre</v>
      </c>
      <c r="C71" s="65" t="str">
        <f>IFERROR(VLOOKUP("UD",'Informacion '!P:Q,2,FALSE),"")</f>
        <v>Unidad</v>
      </c>
      <c r="D71" s="64">
        <v>8</v>
      </c>
      <c r="E71" s="55">
        <v>400</v>
      </c>
      <c r="F71" s="54">
        <f t="shared" ca="1" si="0"/>
        <v>3200</v>
      </c>
    </row>
    <row r="72" spans="1:9" ht="14.1" customHeight="1" x14ac:dyDescent="0.25">
      <c r="A72" s="64" t="s">
        <v>229</v>
      </c>
      <c r="B72" s="53" t="str">
        <f ca="1">IFERROR(INDEX(UNSPSCDes,MATCH(INDIRECT(ADDRESS(ROW(),COLUMN()-1,4)),UNSPSCCode,0)),IF(INDIRECT(ADDRESS(ROW(),COLUMN()-1,4))="53131624","Paños limpiadores desechables",""))</f>
        <v>Paños limpiadores desechables</v>
      </c>
      <c r="C72" s="65" t="str">
        <f>IFERROR(VLOOKUP("PAQ",'Informacion '!P:Q,2,FALSE),"")</f>
        <v>Paquete</v>
      </c>
      <c r="D72" s="64">
        <v>3</v>
      </c>
      <c r="E72" s="55">
        <v>1300</v>
      </c>
      <c r="F72" s="54">
        <f t="shared" ca="1" si="0"/>
        <v>3900</v>
      </c>
    </row>
    <row r="73" spans="1:9" ht="14.1" customHeight="1" x14ac:dyDescent="0.25">
      <c r="A73" s="64" t="s">
        <v>733</v>
      </c>
      <c r="B73" s="53" t="str">
        <f ca="1">IFERROR(INDEX(UNSPSCDes,MATCH(INDIRECT(ADDRESS(ROW(),COLUMN()-1,4)),UNSPSCCode,0)),IF(INDIRECT(ADDRESS(ROW(),COLUMN()-1,4))="53131627","Limpiador de manos",""))</f>
        <v>Limpiador de manos</v>
      </c>
      <c r="C73" s="65" t="str">
        <f>IFERROR(VLOOKUP("GAL",'Informacion '!P:Q,2,FALSE),"")</f>
        <v>Galón</v>
      </c>
      <c r="D73" s="64">
        <v>2</v>
      </c>
      <c r="E73" s="55">
        <v>325</v>
      </c>
      <c r="F73" s="54">
        <f t="shared" ca="1" si="0"/>
        <v>650</v>
      </c>
    </row>
    <row r="74" spans="1:9" ht="14.1" customHeight="1" x14ac:dyDescent="0.25">
      <c r="A74" s="64" t="s">
        <v>733</v>
      </c>
      <c r="B74" s="53" t="str">
        <f ca="1">IFERROR(INDEX(UNSPSCDes,MATCH(INDIRECT(ADDRESS(ROW(),COLUMN()-1,4)),UNSPSCCode,0)),IF(INDIRECT(ADDRESS(ROW(),COLUMN()-1,4))="53131627","Limpiador de manos",""))</f>
        <v>Limpiador de manos</v>
      </c>
      <c r="C74" s="65" t="str">
        <f>IFERROR(VLOOKUP("GAL",'Informacion '!P:Q,2,FALSE),"")</f>
        <v>Galón</v>
      </c>
      <c r="D74" s="64">
        <v>2</v>
      </c>
      <c r="E74" s="55">
        <v>300</v>
      </c>
      <c r="F74" s="54">
        <f t="shared" ca="1" si="0"/>
        <v>600</v>
      </c>
    </row>
    <row r="75" spans="1:9" ht="14.1" customHeight="1" x14ac:dyDescent="0.25">
      <c r="A75" s="64" t="s">
        <v>755</v>
      </c>
      <c r="B75" s="53" t="str">
        <f ca="1">IFERROR(INDEX(UNSPSCDes,MATCH(INDIRECT(ADDRESS(ROW(),COLUMN()-1,4)),UNSPSCCode,0)),IF(INDIRECT(ADDRESS(ROW(),COLUMN()-1,4))="47131812","Refrescador de aire",""))</f>
        <v>Refrescador de aire</v>
      </c>
      <c r="C75" s="65" t="str">
        <f>IFERROR(VLOOKUP("UD",'Informacion '!P:Q,2,FALSE),"")</f>
        <v>Unidad</v>
      </c>
      <c r="D75" s="64">
        <v>3</v>
      </c>
      <c r="E75" s="55">
        <v>150</v>
      </c>
      <c r="F75" s="54">
        <f t="shared" ca="1" si="0"/>
        <v>450</v>
      </c>
    </row>
    <row r="76" spans="1:9" ht="14.1" customHeight="1" x14ac:dyDescent="0.25">
      <c r="A76" s="64" t="s">
        <v>12</v>
      </c>
      <c r="B76" s="53" t="str">
        <f ca="1">IFERROR(INDEX(UNSPSCDes,MATCH(INDIRECT(ADDRESS(ROW(),COLUMN()-1,4)),UNSPSCCode,0)),IF(INDIRECT(ADDRESS(ROW(),COLUMN()-1,4))="53131626","Desinfectante de manos",""))</f>
        <v>Desinfectante de manos</v>
      </c>
      <c r="C76" s="65" t="str">
        <f>IFERROR(VLOOKUP("GAL",'Informacion '!P:Q,2,FALSE),"")</f>
        <v>Galón</v>
      </c>
      <c r="D76" s="64">
        <v>2</v>
      </c>
      <c r="E76" s="55">
        <v>350</v>
      </c>
      <c r="F76" s="54">
        <f t="shared" ca="1" si="0"/>
        <v>700</v>
      </c>
    </row>
    <row r="77" spans="1:9" ht="14.1" customHeight="1" x14ac:dyDescent="0.25">
      <c r="A77" s="64" t="s">
        <v>114</v>
      </c>
      <c r="B77" s="53" t="str">
        <f ca="1">IFERROR(INDEX(UNSPSCDes,MATCH(INDIRECT(ADDRESS(ROW(),COLUMN()-1,4)),UNSPSCCode,0)),IF(INDIRECT(ADDRESS(ROW(),COLUMN()-1,4))="41121813","Cubetas",""))</f>
        <v>Cubetas</v>
      </c>
      <c r="C77" s="65" t="str">
        <f>IFERROR(VLOOKUP("UD",'Informacion '!P:Q,2,FALSE),"")</f>
        <v>Unidad</v>
      </c>
      <c r="D77" s="64">
        <v>5</v>
      </c>
      <c r="E77" s="55">
        <v>200</v>
      </c>
      <c r="F77" s="54">
        <f t="shared" ca="1" si="0"/>
        <v>1000</v>
      </c>
    </row>
    <row r="78" spans="1:9" ht="14.1" customHeight="1" x14ac:dyDescent="0.25">
      <c r="A78" s="64" t="s">
        <v>196</v>
      </c>
      <c r="B78" s="53" t="str">
        <f ca="1">IFERROR(INDEX(UNSPSCDes,MATCH(INDIRECT(ADDRESS(ROW(),COLUMN()-1,4)),UNSPSCCode,0)),IF(INDIRECT(ADDRESS(ROW(),COLUMN()-1,4))="24111503","Bolsas plásticas",""))</f>
        <v>Bolsas plásticas</v>
      </c>
      <c r="C78" s="65" t="str">
        <f>IFERROR(VLOOKUP("PAQ",'Informacion '!P:Q,2,FALSE),"")</f>
        <v>Paquete</v>
      </c>
      <c r="D78" s="64">
        <v>20</v>
      </c>
      <c r="E78" s="55">
        <v>400</v>
      </c>
      <c r="F78" s="54">
        <f t="shared" ca="1" si="0"/>
        <v>8000</v>
      </c>
    </row>
    <row r="79" spans="1:9" ht="14.1" customHeight="1" x14ac:dyDescent="0.25">
      <c r="A79" s="64" t="s">
        <v>576</v>
      </c>
      <c r="B79" s="53" t="str">
        <f ca="1">IFERROR(INDEX(UNSPSCDes,MATCH(INDIRECT(ADDRESS(ROW(),COLUMN()-1,4)),UNSPSCCode,0)),IF(INDIRECT(ADDRESS(ROW(),COLUMN()-1,4))="47131611","Recogedor de basura",""))</f>
        <v>Recogedor de basura</v>
      </c>
      <c r="C79" s="65" t="str">
        <f>IFERROR(VLOOKUP("UD",'Informacion '!P:Q,2,FALSE),"")</f>
        <v>Unidad</v>
      </c>
      <c r="D79" s="64">
        <v>24</v>
      </c>
      <c r="E79" s="55">
        <v>150</v>
      </c>
      <c r="F79" s="54">
        <f t="shared" ca="1" si="0"/>
        <v>3600</v>
      </c>
    </row>
    <row r="80" spans="1:9" ht="14.1" customHeight="1" x14ac:dyDescent="0.25">
      <c r="E80" s="66" t="s">
        <v>581</v>
      </c>
      <c r="F80" s="58">
        <f ca="1">SUM(Table6[MONTO TOTAL ESTIMADO])</f>
        <v>306900</v>
      </c>
      <c r="G80" s="26" t="str">
        <f>C42</f>
        <v>Bienes</v>
      </c>
      <c r="H80" s="26" t="str">
        <f>E42</f>
        <v>No</v>
      </c>
      <c r="I80" s="26" t="str">
        <f>D42</f>
        <v>Compras Menores</v>
      </c>
    </row>
    <row r="82" spans="1:6" ht="33.950000000000003" customHeight="1" x14ac:dyDescent="0.25">
      <c r="A82" s="48" t="s">
        <v>745</v>
      </c>
      <c r="B82" s="48" t="s">
        <v>7</v>
      </c>
      <c r="C82" s="48" t="s">
        <v>533</v>
      </c>
      <c r="D82" s="48" t="s">
        <v>668</v>
      </c>
      <c r="E82" s="48" t="s">
        <v>495</v>
      </c>
      <c r="F82" s="48" t="s">
        <v>506</v>
      </c>
    </row>
    <row r="83" spans="1:6" ht="14.1" customHeight="1" x14ac:dyDescent="0.25">
      <c r="A83" s="50" t="s">
        <v>234</v>
      </c>
      <c r="B83" s="50" t="s">
        <v>126</v>
      </c>
      <c r="C83" s="50" t="s">
        <v>809</v>
      </c>
      <c r="D83" s="50" t="s">
        <v>458</v>
      </c>
      <c r="E83" s="50" t="s">
        <v>810</v>
      </c>
      <c r="F83" s="50" t="s">
        <v>296</v>
      </c>
    </row>
    <row r="84" spans="1:6" ht="14.1" customHeight="1" x14ac:dyDescent="0.25">
      <c r="A84" s="67" t="s">
        <v>688</v>
      </c>
      <c r="B84" s="51" t="s">
        <v>372</v>
      </c>
      <c r="C84" s="60">
        <v>43871</v>
      </c>
      <c r="D84" s="67" t="s">
        <v>418</v>
      </c>
      <c r="E84" s="62" t="s">
        <v>613</v>
      </c>
      <c r="F84" s="63" t="s">
        <v>122</v>
      </c>
    </row>
    <row r="85" spans="1:6" ht="14.1" customHeight="1" x14ac:dyDescent="0.25">
      <c r="A85" s="68"/>
      <c r="B85" s="51" t="s">
        <v>72</v>
      </c>
      <c r="C85" s="61">
        <f>IF(C84="","",IF(AND(MONTH(C84)&gt;=1,MONTH(C84)&lt;=3),1,IF(AND(MONTH(C84)&gt;=4,MONTH(C84)&lt;=6),2,IF(AND(MONTH(C84)&gt;=7,MONTH(C84)&lt;=9),3,4))))</f>
        <v>1</v>
      </c>
      <c r="D85" s="68"/>
      <c r="E85" s="62" t="s">
        <v>91</v>
      </c>
      <c r="F85" s="63" t="s">
        <v>670</v>
      </c>
    </row>
    <row r="86" spans="1:6" ht="14.1" customHeight="1" x14ac:dyDescent="0.25">
      <c r="A86" s="68"/>
      <c r="B86" s="51" t="s">
        <v>602</v>
      </c>
      <c r="C86" s="60">
        <v>43874</v>
      </c>
      <c r="D86" s="68"/>
      <c r="E86" s="62" t="s">
        <v>121</v>
      </c>
      <c r="F86" s="63" t="s">
        <v>195</v>
      </c>
    </row>
    <row r="87" spans="1:6" ht="14.1" customHeight="1" x14ac:dyDescent="0.25">
      <c r="A87" s="68"/>
      <c r="B87" s="51" t="s">
        <v>72</v>
      </c>
      <c r="C87" s="61">
        <f>IF(C86="","",IF(AND(MONTH(C86)&gt;=1,MONTH(C86)&lt;=3),1,IF(AND(MONTH(C86)&gt;=4,MONTH(C86)&lt;=6),2,IF(AND(MONTH(C86)&gt;=7,MONTH(C86)&lt;=9),3,4))))</f>
        <v>1</v>
      </c>
      <c r="D87" s="68"/>
      <c r="E87" s="62" t="s">
        <v>618</v>
      </c>
      <c r="F87" s="63"/>
    </row>
    <row r="89" spans="1:6" ht="14.1" customHeight="1" x14ac:dyDescent="0.25">
      <c r="A89" s="56" t="s">
        <v>724</v>
      </c>
      <c r="B89" s="56" t="s">
        <v>736</v>
      </c>
      <c r="C89" s="56" t="s">
        <v>718</v>
      </c>
      <c r="D89" s="56" t="s">
        <v>701</v>
      </c>
      <c r="E89" s="56" t="s">
        <v>308</v>
      </c>
      <c r="F89" s="56" t="s">
        <v>703</v>
      </c>
    </row>
    <row r="90" spans="1:6" ht="14.1" customHeight="1" x14ac:dyDescent="0.25">
      <c r="A90" s="64" t="s">
        <v>447</v>
      </c>
      <c r="B90" s="53" t="str">
        <f ca="1">IFERROR(INDEX(UNSPSCDes,MATCH(INDIRECT(ADDRESS(ROW(),COLUMN()-1,4)),UNSPSCCode,0)),IF(INDIRECT(ADDRESS(ROW(),COLUMN()-1,4))="44103105","Cartuchos de tinta",""))</f>
        <v>Cartuchos de tinta</v>
      </c>
      <c r="C90" s="65" t="str">
        <f>IFERROR(VLOOKUP("UD",'Informacion '!P:Q,2,FALSE),"")</f>
        <v>Unidad</v>
      </c>
      <c r="D90" s="64">
        <v>5</v>
      </c>
      <c r="E90" s="55">
        <v>800</v>
      </c>
      <c r="F90" s="54">
        <f t="shared" ref="F90:F128" ca="1" si="1">INDIRECT(ADDRESS(ROW(),COLUMN()-2,4))*INDIRECT(ADDRESS(ROW(),COLUMN()-1,4))</f>
        <v>4000</v>
      </c>
    </row>
    <row r="91" spans="1:6" ht="14.1" customHeight="1" x14ac:dyDescent="0.25">
      <c r="A91" s="64" t="s">
        <v>692</v>
      </c>
      <c r="B91" s="53" t="str">
        <f ca="1">IFERROR(INDEX(UNSPSCDes,MATCH(INDIRECT(ADDRESS(ROW(),COLUMN()-1,4)),UNSPSCCode,0)),IF(INDIRECT(ADDRESS(ROW(),COLUMN()-1,4))="44103103","Tóner para impresoras o fax",""))</f>
        <v>Tóner para impresoras o fax</v>
      </c>
      <c r="C91" s="65" t="str">
        <f>IFERROR(VLOOKUP("UD",'Informacion '!P:Q,2,FALSE),"")</f>
        <v>Unidad</v>
      </c>
      <c r="D91" s="64">
        <v>2</v>
      </c>
      <c r="E91" s="55">
        <v>2100</v>
      </c>
      <c r="F91" s="54">
        <f t="shared" ca="1" si="1"/>
        <v>4200</v>
      </c>
    </row>
    <row r="92" spans="1:6" ht="14.1" customHeight="1" x14ac:dyDescent="0.25">
      <c r="A92" s="64" t="s">
        <v>727</v>
      </c>
      <c r="B92" s="53" t="str">
        <f ca="1">IFERROR(INDEX(UNSPSCDes,MATCH(INDIRECT(ADDRESS(ROW(),COLUMN()-1,4)),UNSPSCCode,0)),IF(INDIRECT(ADDRESS(ROW(),COLUMN()-1,4))="44121701","Bolígrafos",""))</f>
        <v>Bolígrafos</v>
      </c>
      <c r="C92" s="65" t="str">
        <f>IFERROR(VLOOKUP("DOC",'Informacion '!P:Q,2,FALSE),"")</f>
        <v>Docena</v>
      </c>
      <c r="D92" s="64">
        <v>8</v>
      </c>
      <c r="E92" s="55">
        <v>75</v>
      </c>
      <c r="F92" s="54">
        <f t="shared" ca="1" si="1"/>
        <v>600</v>
      </c>
    </row>
    <row r="93" spans="1:6" ht="14.1" customHeight="1" x14ac:dyDescent="0.25">
      <c r="A93" s="64" t="s">
        <v>725</v>
      </c>
      <c r="B93" s="53" t="str">
        <f ca="1">IFERROR(INDEX(UNSPSCDes,MATCH(INDIRECT(ADDRESS(ROW(),COLUMN()-1,4)),UNSPSCCode,0)),IF(INDIRECT(ADDRESS(ROW(),COLUMN()-1,4))="44121615","Grapadoras",""))</f>
        <v>Grapadoras</v>
      </c>
      <c r="C93" s="65" t="str">
        <f>IFERROR(VLOOKUP("UD",'Informacion '!P:Q,2,FALSE),"")</f>
        <v>Unidad</v>
      </c>
      <c r="D93" s="64">
        <v>6</v>
      </c>
      <c r="E93" s="55">
        <v>200</v>
      </c>
      <c r="F93" s="54">
        <f t="shared" ca="1" si="1"/>
        <v>1200</v>
      </c>
    </row>
    <row r="94" spans="1:6" ht="14.1" customHeight="1" x14ac:dyDescent="0.25">
      <c r="A94" s="64" t="s">
        <v>339</v>
      </c>
      <c r="B94" s="53" t="str">
        <f ca="1">IFERROR(INDEX(UNSPSCDes,MATCH(INDIRECT(ADDRESS(ROW(),COLUMN()-1,4)),UNSPSCCode,0)),IF(INDIRECT(ADDRESS(ROW(),COLUMN()-1,4))="44122011","Folders",""))</f>
        <v>Folders</v>
      </c>
      <c r="C94" s="65" t="str">
        <f>IFERROR(VLOOKUP("CAJ",'Informacion '!P:Q,2,FALSE),"")</f>
        <v>Caja</v>
      </c>
      <c r="D94" s="64">
        <v>7</v>
      </c>
      <c r="E94" s="55">
        <v>450</v>
      </c>
      <c r="F94" s="54">
        <f t="shared" ca="1" si="1"/>
        <v>3150</v>
      </c>
    </row>
    <row r="95" spans="1:6" ht="14.1" customHeight="1" x14ac:dyDescent="0.25">
      <c r="A95" s="64" t="s">
        <v>626</v>
      </c>
      <c r="B95" s="53" t="str">
        <f ca="1">IFERROR(INDEX(UNSPSCDes,MATCH(INDIRECT(ADDRESS(ROW(),COLUMN()-1,4)),UNSPSCCode,0)),IF(INDIRECT(ADDRESS(ROW(),COLUMN()-1,4))="14111507","Papel para impresora o fotocopiadora",""))</f>
        <v>Papel para impresora o fotocopiadora</v>
      </c>
      <c r="C95" s="65" t="str">
        <f>IFERROR(VLOOKUP("UD",'Informacion '!P:Q,2,FALSE),"")</f>
        <v>Unidad</v>
      </c>
      <c r="D95" s="64">
        <v>40</v>
      </c>
      <c r="E95" s="55">
        <v>12</v>
      </c>
      <c r="F95" s="54">
        <f t="shared" ca="1" si="1"/>
        <v>480</v>
      </c>
    </row>
    <row r="96" spans="1:6" ht="14.1" customHeight="1" x14ac:dyDescent="0.25">
      <c r="A96" s="64" t="s">
        <v>120</v>
      </c>
      <c r="B96" s="53" t="str">
        <f ca="1">IFERROR(INDEX(UNSPSCDes,MATCH(INDIRECT(ADDRESS(ROW(),COLUMN()-1,4)),UNSPSCCode,0)),IF(INDIRECT(ADDRESS(ROW(),COLUMN()-1,4))="26111702","Pilas alcalinas",""))</f>
        <v>Pilas alcalinas</v>
      </c>
      <c r="C96" s="65" t="str">
        <f>IFERROR(VLOOKUP("PAQ",'Informacion '!P:Q,2,FALSE),"")</f>
        <v>Paquete</v>
      </c>
      <c r="D96" s="64">
        <v>1</v>
      </c>
      <c r="E96" s="55">
        <v>1200</v>
      </c>
      <c r="F96" s="54">
        <f t="shared" ca="1" si="1"/>
        <v>1200</v>
      </c>
    </row>
    <row r="97" spans="1:6" ht="14.1" customHeight="1" x14ac:dyDescent="0.25">
      <c r="A97" s="64" t="s">
        <v>21</v>
      </c>
      <c r="B97" s="53" t="str">
        <f ca="1">IFERROR(INDEX(UNSPSCDes,MATCH(INDIRECT(ADDRESS(ROW(),COLUMN()-1,4)),UNSPSCCode,0)),IF(INDIRECT(ADDRESS(ROW(),COLUMN()-1,4))="44111509","Sujetadores de esferos o lápices",""))</f>
        <v>Sujetadores de esferos o lápices</v>
      </c>
      <c r="C97" s="65" t="str">
        <f>IFERROR(VLOOKUP("CAJ",'Informacion '!P:Q,2,FALSE),"")</f>
        <v>Caja</v>
      </c>
      <c r="D97" s="64">
        <v>5</v>
      </c>
      <c r="E97" s="55">
        <v>70</v>
      </c>
      <c r="F97" s="54">
        <f t="shared" ca="1" si="1"/>
        <v>350</v>
      </c>
    </row>
    <row r="98" spans="1:6" ht="14.1" customHeight="1" x14ac:dyDescent="0.25">
      <c r="A98" s="64" t="s">
        <v>443</v>
      </c>
      <c r="B98" s="53" t="str">
        <f ca="1">IFERROR(INDEX(UNSPSCDes,MATCH(INDIRECT(ADDRESS(ROW(),COLUMN()-1,4)),UNSPSCCode,0)),IF(INDIRECT(ADDRESS(ROW(),COLUMN()-1,4))="44121802","Fluido de corrección",""))</f>
        <v>Fluido de corrección</v>
      </c>
      <c r="C98" s="65" t="str">
        <f>IFERROR(VLOOKUP("CAJ",'Informacion '!P:Q,2,FALSE),"")</f>
        <v>Caja</v>
      </c>
      <c r="D98" s="64">
        <v>1</v>
      </c>
      <c r="E98" s="55">
        <v>200</v>
      </c>
      <c r="F98" s="54">
        <f t="shared" ca="1" si="1"/>
        <v>200</v>
      </c>
    </row>
    <row r="99" spans="1:6" ht="14.1" customHeight="1" x14ac:dyDescent="0.25">
      <c r="A99" s="64" t="s">
        <v>475</v>
      </c>
      <c r="B99" s="53" t="str">
        <f ca="1">IFERROR(INDEX(UNSPSCDes,MATCH(INDIRECT(ADDRESS(ROW(),COLUMN()-1,4)),UNSPSCCode,0)),IF(INDIRECT(ADDRESS(ROW(),COLUMN()-1,4))="44122107","Grapas",""))</f>
        <v>Grapas</v>
      </c>
      <c r="C99" s="65" t="str">
        <f>IFERROR(VLOOKUP("CAJ",'Informacion '!P:Q,2,FALSE),"")</f>
        <v>Caja</v>
      </c>
      <c r="D99" s="64">
        <v>4</v>
      </c>
      <c r="E99" s="55">
        <v>30</v>
      </c>
      <c r="F99" s="54">
        <f t="shared" ca="1" si="1"/>
        <v>120</v>
      </c>
    </row>
    <row r="100" spans="1:6" ht="14.1" customHeight="1" x14ac:dyDescent="0.25">
      <c r="A100" s="64" t="s">
        <v>251</v>
      </c>
      <c r="B100" s="53" t="str">
        <f ca="1">IFERROR(INDEX(UNSPSCDes,MATCH(INDIRECT(ADDRESS(ROW(),COLUMN()-1,4)),UNSPSCCode,0)),IF(INDIRECT(ADDRESS(ROW(),COLUMN()-1,4))="60121152","Tablillas de escritura",""))</f>
        <v>Tablillas de escritura</v>
      </c>
      <c r="C100" s="65" t="str">
        <f>IFERROR(VLOOKUP("UD",'Informacion '!P:Q,2,FALSE),"")</f>
        <v>Unidad</v>
      </c>
      <c r="D100" s="64">
        <v>5</v>
      </c>
      <c r="E100" s="55">
        <v>140</v>
      </c>
      <c r="F100" s="54">
        <f t="shared" ca="1" si="1"/>
        <v>700</v>
      </c>
    </row>
    <row r="101" spans="1:6" ht="14.1" customHeight="1" x14ac:dyDescent="0.25">
      <c r="A101" s="64" t="s">
        <v>281</v>
      </c>
      <c r="B101" s="53" t="str">
        <f ca="1">IFERROR(INDEX(UNSPSCDes,MATCH(INDIRECT(ADDRESS(ROW(),COLUMN()-1,4)),UNSPSCCode,0)),IF(INDIRECT(ADDRESS(ROW(),COLUMN()-1,4))="44121804","Borradores",""))</f>
        <v>Borradores</v>
      </c>
      <c r="C101" s="65" t="str">
        <f>IFERROR(VLOOKUP("UD",'Informacion '!P:Q,2,FALSE),"")</f>
        <v>Unidad</v>
      </c>
      <c r="D101" s="64">
        <v>20</v>
      </c>
      <c r="E101" s="55">
        <v>10</v>
      </c>
      <c r="F101" s="54">
        <f t="shared" ca="1" si="1"/>
        <v>200</v>
      </c>
    </row>
    <row r="102" spans="1:6" ht="14.1" customHeight="1" x14ac:dyDescent="0.25">
      <c r="A102" s="64" t="s">
        <v>672</v>
      </c>
      <c r="B102" s="53" t="str">
        <f ca="1">IFERROR(INDEX(UNSPSCDes,MATCH(INDIRECT(ADDRESS(ROW(),COLUMN()-1,4)),UNSPSCCode,0)),IF(INDIRECT(ADDRESS(ROW(),COLUMN()-1,4))="41111604","Reglas",""))</f>
        <v>Reglas</v>
      </c>
      <c r="C102" s="65" t="str">
        <f>IFERROR(VLOOKUP("UD",'Informacion '!P:Q,2,FALSE),"")</f>
        <v>Unidad</v>
      </c>
      <c r="D102" s="64">
        <v>4</v>
      </c>
      <c r="E102" s="55">
        <v>110</v>
      </c>
      <c r="F102" s="54">
        <f t="shared" ca="1" si="1"/>
        <v>440</v>
      </c>
    </row>
    <row r="103" spans="1:6" ht="14.1" customHeight="1" x14ac:dyDescent="0.25">
      <c r="A103" s="64" t="s">
        <v>823</v>
      </c>
      <c r="B103" s="53" t="str">
        <f ca="1">IFERROR(INDEX(UNSPSCDes,MATCH(INDIRECT(ADDRESS(ROW(),COLUMN()-1,4)),UNSPSCCode,0)),IF(INDIRECT(ADDRESS(ROW(),COLUMN()-1,4))="60102613","Libros de recursos o actividades de resolución de problemas",""))</f>
        <v>Libros de recursos o actividades de resolución de problemas</v>
      </c>
      <c r="C103" s="65" t="str">
        <f>IFERROR(VLOOKUP("UD",'Informacion '!P:Q,2,FALSE),"")</f>
        <v>Unidad</v>
      </c>
      <c r="D103" s="64">
        <v>5</v>
      </c>
      <c r="E103" s="55">
        <v>300</v>
      </c>
      <c r="F103" s="54">
        <f t="shared" ca="1" si="1"/>
        <v>1500</v>
      </c>
    </row>
    <row r="104" spans="1:6" ht="14.1" customHeight="1" x14ac:dyDescent="0.25">
      <c r="A104" s="64" t="s">
        <v>777</v>
      </c>
      <c r="B104" s="53" t="str">
        <f ca="1">IFERROR(INDEX(UNSPSCDes,MATCH(INDIRECT(ADDRESS(ROW(),COLUMN()-1,4)),UNSPSCCode,0)),IF(INDIRECT(ADDRESS(ROW(),COLUMN()-1,4))="60123601","Pegante de purpurina",""))</f>
        <v>Pegante de purpurina</v>
      </c>
      <c r="C104" s="65" t="str">
        <f>IFERROR(VLOOKUP("UD",'Informacion '!P:Q,2,FALSE),"")</f>
        <v>Unidad</v>
      </c>
      <c r="D104" s="64">
        <v>5</v>
      </c>
      <c r="E104" s="55">
        <v>40</v>
      </c>
      <c r="F104" s="54">
        <f t="shared" ca="1" si="1"/>
        <v>200</v>
      </c>
    </row>
    <row r="105" spans="1:6" ht="14.1" customHeight="1" x14ac:dyDescent="0.25">
      <c r="A105" s="64" t="s">
        <v>407</v>
      </c>
      <c r="B105" s="53" t="str">
        <f ca="1">IFERROR(INDEX(UNSPSCDes,MATCH(INDIRECT(ADDRESS(ROW(),COLUMN()-1,4)),UNSPSCCode,0)),IF(INDIRECT(ADDRESS(ROW(),COLUMN()-1,4))="44121618","Tijeras",""))</f>
        <v>Tijeras</v>
      </c>
      <c r="C105" s="65" t="str">
        <f>IFERROR(VLOOKUP("UD",'Informacion '!P:Q,2,FALSE),"")</f>
        <v>Unidad</v>
      </c>
      <c r="D105" s="64">
        <v>3</v>
      </c>
      <c r="E105" s="55">
        <v>75</v>
      </c>
      <c r="F105" s="54">
        <f t="shared" ca="1" si="1"/>
        <v>225</v>
      </c>
    </row>
    <row r="106" spans="1:6" ht="14.1" customHeight="1" x14ac:dyDescent="0.25">
      <c r="A106" s="64" t="s">
        <v>148</v>
      </c>
      <c r="B106" s="53" t="str">
        <f ca="1">IFERROR(INDEX(UNSPSCDes,MATCH(INDIRECT(ADDRESS(ROW(),COLUMN()-1,4)),UNSPSCCode,0)),IF(INDIRECT(ADDRESS(ROW(),COLUMN()-1,4))="44101602","Máquinas perforadoras o para unir papel",""))</f>
        <v>Máquinas perforadoras o para unir papel</v>
      </c>
      <c r="C106" s="65" t="str">
        <f>IFERROR(VLOOKUP("UD",'Informacion '!P:Q,2,FALSE),"")</f>
        <v>Unidad</v>
      </c>
      <c r="D106" s="64">
        <v>3</v>
      </c>
      <c r="E106" s="55">
        <v>450</v>
      </c>
      <c r="F106" s="54">
        <f t="shared" ca="1" si="1"/>
        <v>1350</v>
      </c>
    </row>
    <row r="107" spans="1:6" ht="14.1" customHeight="1" x14ac:dyDescent="0.25">
      <c r="A107" s="64" t="s">
        <v>190</v>
      </c>
      <c r="B107" s="53" t="str">
        <f ca="1">IFERROR(INDEX(UNSPSCDes,MATCH(INDIRECT(ADDRESS(ROW(),COLUMN()-1,4)),UNSPSCCode,0)),IF(INDIRECT(ADDRESS(ROW(),COLUMN()-1,4))="44111515","Cajas u organizadores de almacenamiento de archivos",""))</f>
        <v>Cajas u organizadores de almacenamiento de archivos</v>
      </c>
      <c r="C107" s="65" t="str">
        <f>IFERROR(VLOOKUP("UD",'Informacion '!P:Q,2,FALSE),"")</f>
        <v>Unidad</v>
      </c>
      <c r="D107" s="64">
        <v>2</v>
      </c>
      <c r="E107" s="55">
        <v>9000</v>
      </c>
      <c r="F107" s="54">
        <f t="shared" ca="1" si="1"/>
        <v>18000</v>
      </c>
    </row>
    <row r="108" spans="1:6" ht="14.1" customHeight="1" x14ac:dyDescent="0.25">
      <c r="A108" s="64" t="s">
        <v>89</v>
      </c>
      <c r="B108" s="53" t="str">
        <f ca="1">IFERROR(INDEX(UNSPSCDes,MATCH(INDIRECT(ADDRESS(ROW(),COLUMN()-1,4)),UNSPSCCode,0)),IF(INDIRECT(ADDRESS(ROW(),COLUMN()-1,4))="44121708","Marcadores",""))</f>
        <v>Marcadores</v>
      </c>
      <c r="C108" s="65" t="str">
        <f>IFERROR(VLOOKUP("CAJ",'Informacion '!P:Q,2,FALSE),"")</f>
        <v>Caja</v>
      </c>
      <c r="D108" s="64">
        <v>5</v>
      </c>
      <c r="E108" s="55">
        <v>200</v>
      </c>
      <c r="F108" s="54">
        <f t="shared" ca="1" si="1"/>
        <v>1000</v>
      </c>
    </row>
    <row r="109" spans="1:6" ht="14.1" customHeight="1" x14ac:dyDescent="0.25">
      <c r="A109" s="64" t="s">
        <v>250</v>
      </c>
      <c r="B109" s="53" t="str">
        <f ca="1">IFERROR(INDEX(UNSPSCDes,MATCH(INDIRECT(ADDRESS(ROW(),COLUMN()-1,4)),UNSPSCCode,0)),IF(INDIRECT(ADDRESS(ROW(),COLUMN()-1,4))="12141911","Silicona si",""))</f>
        <v>Silicona si</v>
      </c>
      <c r="C109" s="65" t="str">
        <f>IFERROR(VLOOKUP("UD",'Informacion '!P:Q,2,FALSE),"")</f>
        <v>Unidad</v>
      </c>
      <c r="D109" s="64">
        <v>5</v>
      </c>
      <c r="E109" s="55">
        <v>50</v>
      </c>
      <c r="F109" s="54">
        <f t="shared" ca="1" si="1"/>
        <v>250</v>
      </c>
    </row>
    <row r="110" spans="1:6" ht="14.1" customHeight="1" x14ac:dyDescent="0.25">
      <c r="A110" s="64" t="s">
        <v>310</v>
      </c>
      <c r="B110" s="53" t="str">
        <f ca="1">IFERROR(INDEX(UNSPSCDes,MATCH(INDIRECT(ADDRESS(ROW(),COLUMN()-1,4)),UNSPSCCode,0)),IF(INDIRECT(ADDRESS(ROW(),COLUMN()-1,4))="44121801","Película o cinta de corrección",""))</f>
        <v>Película o cinta de corrección</v>
      </c>
      <c r="C110" s="65" t="str">
        <f>IFERROR(VLOOKUP("PAQ",'Informacion '!P:Q,2,FALSE),"")</f>
        <v>Paquete</v>
      </c>
      <c r="D110" s="64">
        <v>2</v>
      </c>
      <c r="E110" s="55">
        <v>500</v>
      </c>
      <c r="F110" s="54">
        <f t="shared" ca="1" si="1"/>
        <v>1000</v>
      </c>
    </row>
    <row r="111" spans="1:6" ht="14.1" customHeight="1" x14ac:dyDescent="0.25">
      <c r="A111" s="64" t="s">
        <v>512</v>
      </c>
      <c r="B111" s="53" t="str">
        <f ca="1">IFERROR(INDEX(UNSPSCDes,MATCH(INDIRECT(ADDRESS(ROW(),COLUMN()-1,4)),UNSPSCCode,0)),IF(INDIRECT(ADDRESS(ROW(),COLUMN()-1,4))="44102606","Cinta de máquinas de escribir",""))</f>
        <v>Cinta de máquinas de escribir</v>
      </c>
      <c r="C111" s="65" t="str">
        <f>IFERROR(VLOOKUP("UD",'Informacion '!P:Q,2,FALSE),"")</f>
        <v>Unidad</v>
      </c>
      <c r="D111" s="64">
        <v>3</v>
      </c>
      <c r="E111" s="55">
        <v>700</v>
      </c>
      <c r="F111" s="54">
        <f t="shared" ca="1" si="1"/>
        <v>2100</v>
      </c>
    </row>
    <row r="112" spans="1:6" ht="14.1" customHeight="1" x14ac:dyDescent="0.25">
      <c r="A112" s="64" t="s">
        <v>514</v>
      </c>
      <c r="B112" s="53" t="str">
        <f ca="1">IFERROR(INDEX(UNSPSCDes,MATCH(INDIRECT(ADDRESS(ROW(),COLUMN()-1,4)),UNSPSCCode,0)),IF(INDIRECT(ADDRESS(ROW(),COLUMN()-1,4))="44121605","Dispensadores de cinta",""))</f>
        <v>Dispensadores de cinta</v>
      </c>
      <c r="C112" s="65" t="str">
        <f>IFERROR(VLOOKUP("UD",'Informacion '!P:Q,2,FALSE),"")</f>
        <v>Unidad</v>
      </c>
      <c r="D112" s="64">
        <v>3</v>
      </c>
      <c r="E112" s="55">
        <v>300</v>
      </c>
      <c r="F112" s="54">
        <f t="shared" ca="1" si="1"/>
        <v>900</v>
      </c>
    </row>
    <row r="113" spans="1:6" ht="14.1" customHeight="1" x14ac:dyDescent="0.25">
      <c r="A113" s="64" t="s">
        <v>634</v>
      </c>
      <c r="B113" s="53" t="str">
        <f ca="1">IFERROR(INDEX(UNSPSCDes,MATCH(INDIRECT(ADDRESS(ROW(),COLUMN()-1,4)),UNSPSCCode,0)),IF(INDIRECT(ADDRESS(ROW(),COLUMN()-1,4))="44122104","Clips para papel",""))</f>
        <v>Clips para papel</v>
      </c>
      <c r="C113" s="65" t="str">
        <f>IFERROR(VLOOKUP("CAJ",'Informacion '!P:Q,2,FALSE),"")</f>
        <v>Caja</v>
      </c>
      <c r="D113" s="64">
        <v>5</v>
      </c>
      <c r="E113" s="55">
        <v>70</v>
      </c>
      <c r="F113" s="54">
        <f t="shared" ca="1" si="1"/>
        <v>350</v>
      </c>
    </row>
    <row r="114" spans="1:6" ht="14.1" customHeight="1" x14ac:dyDescent="0.25">
      <c r="A114" s="64" t="s">
        <v>626</v>
      </c>
      <c r="B114" s="53" t="str">
        <f ca="1">IFERROR(INDEX(UNSPSCDes,MATCH(INDIRECT(ADDRESS(ROW(),COLUMN()-1,4)),UNSPSCCode,0)),IF(INDIRECT(ADDRESS(ROW(),COLUMN()-1,4))="14111507","Papel para impresora o fotocopiadora",""))</f>
        <v>Papel para impresora o fotocopiadora</v>
      </c>
      <c r="C114" s="65" t="str">
        <f>IFERROR(VLOOKUP("UD",'Informacion '!P:Q,2,FALSE),"")</f>
        <v>Unidad</v>
      </c>
      <c r="D114" s="64">
        <v>40</v>
      </c>
      <c r="E114" s="55">
        <v>150</v>
      </c>
      <c r="F114" s="54">
        <f t="shared" ca="1" si="1"/>
        <v>6000</v>
      </c>
    </row>
    <row r="115" spans="1:6" ht="14.1" customHeight="1" x14ac:dyDescent="0.25">
      <c r="A115" s="64" t="s">
        <v>173</v>
      </c>
      <c r="B115" s="53" t="str">
        <f ca="1">IFERROR(INDEX(UNSPSCDes,MATCH(INDIRECT(ADDRESS(ROW(),COLUMN()-1,4)),UNSPSCCode,0)),IF(INDIRECT(ADDRESS(ROW(),COLUMN()-1,4))="44122018","Insertos o pestañas para archivos",""))</f>
        <v>Insertos o pestañas para archivos</v>
      </c>
      <c r="C115" s="65" t="str">
        <f>IFERROR(VLOOKUP("PAQ",'Informacion '!P:Q,2,FALSE),"")</f>
        <v>Paquete</v>
      </c>
      <c r="D115" s="64">
        <v>5</v>
      </c>
      <c r="E115" s="55">
        <v>40</v>
      </c>
      <c r="F115" s="54">
        <f t="shared" ca="1" si="1"/>
        <v>200</v>
      </c>
    </row>
    <row r="116" spans="1:6" ht="14.1" customHeight="1" x14ac:dyDescent="0.25">
      <c r="A116" s="64" t="s">
        <v>331</v>
      </c>
      <c r="B116" s="53" t="str">
        <f ca="1">IFERROR(INDEX(UNSPSCDes,MATCH(INDIRECT(ADDRESS(ROW(),COLUMN()-1,4)),UNSPSCCode,0)),IF(INDIRECT(ADDRESS(ROW(),COLUMN()-1,4))="44121619","Tajalápices manuales",""))</f>
        <v>Tajalápices manuales</v>
      </c>
      <c r="C116" s="65" t="str">
        <f>IFERROR(VLOOKUP("UD",'Informacion '!P:Q,2,FALSE),"")</f>
        <v>Unidad</v>
      </c>
      <c r="D116" s="64">
        <v>10</v>
      </c>
      <c r="E116" s="55">
        <v>20</v>
      </c>
      <c r="F116" s="54">
        <f t="shared" ca="1" si="1"/>
        <v>200</v>
      </c>
    </row>
    <row r="117" spans="1:6" ht="14.1" customHeight="1" x14ac:dyDescent="0.25">
      <c r="A117" s="64" t="s">
        <v>520</v>
      </c>
      <c r="B117" s="53" t="str">
        <f ca="1">IFERROR(INDEX(UNSPSCDes,MATCH(INDIRECT(ADDRESS(ROW(),COLUMN()-1,4)),UNSPSCCode,0)),IF(INDIRECT(ADDRESS(ROW(),COLUMN()-1,4))="56101529","Revisteros",""))</f>
        <v>Revisteros</v>
      </c>
      <c r="C117" s="65" t="str">
        <f>IFERROR(VLOOKUP("UD",'Informacion '!P:Q,2,FALSE),"")</f>
        <v>Unidad</v>
      </c>
      <c r="D117" s="64">
        <v>2</v>
      </c>
      <c r="E117" s="55">
        <v>300</v>
      </c>
      <c r="F117" s="54">
        <f t="shared" ca="1" si="1"/>
        <v>600</v>
      </c>
    </row>
    <row r="118" spans="1:6" ht="14.1" customHeight="1" x14ac:dyDescent="0.25">
      <c r="A118" s="64" t="s">
        <v>315</v>
      </c>
      <c r="B118" s="53" t="str">
        <f ca="1">IFERROR(INDEX(UNSPSCDes,MATCH(INDIRECT(ADDRESS(ROW(),COLUMN()-1,4)),UNSPSCCode,0)),IF(INDIRECT(ADDRESS(ROW(),COLUMN()-1,4))="31201522","Cinta de transferencia adhesiva",""))</f>
        <v>Cinta de transferencia adhesiva</v>
      </c>
      <c r="C118" s="65" t="str">
        <f>IFERROR(VLOOKUP("UD",'Informacion '!P:Q,2,FALSE),"")</f>
        <v>Unidad</v>
      </c>
      <c r="D118" s="64">
        <v>10</v>
      </c>
      <c r="E118" s="55">
        <v>75</v>
      </c>
      <c r="F118" s="54">
        <f t="shared" ca="1" si="1"/>
        <v>750</v>
      </c>
    </row>
    <row r="119" spans="1:6" ht="14.1" customHeight="1" x14ac:dyDescent="0.25">
      <c r="A119" s="64" t="s">
        <v>293</v>
      </c>
      <c r="B119" s="53" t="str">
        <f ca="1">IFERROR(INDEX(UNSPSCDes,MATCH(INDIRECT(ADDRESS(ROW(),COLUMN()-1,4)),UNSPSCCode,0)),IF(INDIRECT(ADDRESS(ROW(),COLUMN()-1,4))="31201505","Cinta doble faz",""))</f>
        <v>Cinta doble faz</v>
      </c>
      <c r="C119" s="65" t="str">
        <f>IFERROR(VLOOKUP("UD",'Informacion '!P:Q,2,FALSE),"")</f>
        <v>Unidad</v>
      </c>
      <c r="D119" s="64">
        <v>2</v>
      </c>
      <c r="E119" s="55">
        <v>300</v>
      </c>
      <c r="F119" s="54">
        <f t="shared" ca="1" si="1"/>
        <v>600</v>
      </c>
    </row>
    <row r="120" spans="1:6" ht="14.1" customHeight="1" x14ac:dyDescent="0.25">
      <c r="A120" s="64" t="s">
        <v>447</v>
      </c>
      <c r="B120" s="53" t="str">
        <f ca="1">IFERROR(INDEX(UNSPSCDes,MATCH(INDIRECT(ADDRESS(ROW(),COLUMN()-1,4)),UNSPSCCode,0)),IF(INDIRECT(ADDRESS(ROW(),COLUMN()-1,4))="44103105","Cartuchos de tinta",""))</f>
        <v>Cartuchos de tinta</v>
      </c>
      <c r="C120" s="65" t="str">
        <f>IFERROR(VLOOKUP("UD",'Informacion '!P:Q,2,FALSE),"")</f>
        <v>Unidad</v>
      </c>
      <c r="D120" s="64">
        <v>5</v>
      </c>
      <c r="E120" s="55">
        <v>800</v>
      </c>
      <c r="F120" s="54">
        <f t="shared" ca="1" si="1"/>
        <v>4000</v>
      </c>
    </row>
    <row r="121" spans="1:6" ht="14.1" customHeight="1" x14ac:dyDescent="0.25">
      <c r="A121" s="64" t="s">
        <v>120</v>
      </c>
      <c r="B121" s="53" t="str">
        <f ca="1">IFERROR(INDEX(UNSPSCDes,MATCH(INDIRECT(ADDRESS(ROW(),COLUMN()-1,4)),UNSPSCCode,0)),IF(INDIRECT(ADDRESS(ROW(),COLUMN()-1,4))="26111702","Pilas alcalinas",""))</f>
        <v>Pilas alcalinas</v>
      </c>
      <c r="C121" s="65" t="str">
        <f>IFERROR(VLOOKUP("PAQ",'Informacion '!P:Q,2,FALSE),"")</f>
        <v>Paquete</v>
      </c>
      <c r="D121" s="64">
        <v>1</v>
      </c>
      <c r="E121" s="55">
        <v>1100</v>
      </c>
      <c r="F121" s="54">
        <f t="shared" ca="1" si="1"/>
        <v>1100</v>
      </c>
    </row>
    <row r="122" spans="1:6" ht="14.1" customHeight="1" x14ac:dyDescent="0.25">
      <c r="A122" s="64" t="s">
        <v>137</v>
      </c>
      <c r="B122" s="53" t="str">
        <f ca="1">IFERROR(INDEX(UNSPSCDes,MATCH(INDIRECT(ADDRESS(ROW(),COLUMN()-1,4)),UNSPSCCode,0)),IF(INDIRECT(ADDRESS(ROW(),COLUMN()-1,4))="60141001","Globos o pelotas de juguete",""))</f>
        <v>Globos o pelotas de juguete</v>
      </c>
      <c r="C122" s="65" t="str">
        <f>IFERROR(VLOOKUP("PAQ",'Informacion '!P:Q,2,FALSE),"")</f>
        <v>Paquete</v>
      </c>
      <c r="D122" s="64">
        <v>3</v>
      </c>
      <c r="E122" s="55">
        <v>75</v>
      </c>
      <c r="F122" s="54">
        <f t="shared" ca="1" si="1"/>
        <v>225</v>
      </c>
    </row>
    <row r="123" spans="1:6" ht="14.1" customHeight="1" x14ac:dyDescent="0.25">
      <c r="A123" s="64" t="s">
        <v>137</v>
      </c>
      <c r="B123" s="53" t="str">
        <f ca="1">IFERROR(INDEX(UNSPSCDes,MATCH(INDIRECT(ADDRESS(ROW(),COLUMN()-1,4)),UNSPSCCode,0)),IF(INDIRECT(ADDRESS(ROW(),COLUMN()-1,4))="60141001","Globos o pelotas de juguete",""))</f>
        <v>Globos o pelotas de juguete</v>
      </c>
      <c r="C123" s="65" t="str">
        <f>IFERROR(VLOOKUP("PAQ",'Informacion '!P:Q,2,FALSE),"")</f>
        <v>Paquete</v>
      </c>
      <c r="D123" s="64">
        <v>2</v>
      </c>
      <c r="E123" s="55">
        <v>200</v>
      </c>
      <c r="F123" s="54">
        <f t="shared" ca="1" si="1"/>
        <v>400</v>
      </c>
    </row>
    <row r="124" spans="1:6" ht="14.1" customHeight="1" x14ac:dyDescent="0.25">
      <c r="A124" s="64" t="s">
        <v>137</v>
      </c>
      <c r="B124" s="53" t="str">
        <f ca="1">IFERROR(INDEX(UNSPSCDes,MATCH(INDIRECT(ADDRESS(ROW(),COLUMN()-1,4)),UNSPSCCode,0)),IF(INDIRECT(ADDRESS(ROW(),COLUMN()-1,4))="60141001","Globos o pelotas de juguete",""))</f>
        <v>Globos o pelotas de juguete</v>
      </c>
      <c r="C124" s="65" t="str">
        <f>IFERROR(VLOOKUP("PAQ",'Informacion '!P:Q,2,FALSE),"")</f>
        <v>Paquete</v>
      </c>
      <c r="D124" s="64">
        <v>2</v>
      </c>
      <c r="E124" s="55">
        <v>250</v>
      </c>
      <c r="F124" s="54">
        <f t="shared" ca="1" si="1"/>
        <v>500</v>
      </c>
    </row>
    <row r="125" spans="1:6" ht="14.1" customHeight="1" x14ac:dyDescent="0.25">
      <c r="A125" s="64" t="s">
        <v>137</v>
      </c>
      <c r="B125" s="53" t="str">
        <f ca="1">IFERROR(INDEX(UNSPSCDes,MATCH(INDIRECT(ADDRESS(ROW(),COLUMN()-1,4)),UNSPSCCode,0)),IF(INDIRECT(ADDRESS(ROW(),COLUMN()-1,4))="60141001","Globos o pelotas de juguete",""))</f>
        <v>Globos o pelotas de juguete</v>
      </c>
      <c r="C125" s="65" t="str">
        <f>IFERROR(VLOOKUP("PAQ",'Informacion '!P:Q,2,FALSE),"")</f>
        <v>Paquete</v>
      </c>
      <c r="D125" s="64">
        <v>2</v>
      </c>
      <c r="E125" s="55">
        <v>300</v>
      </c>
      <c r="F125" s="54">
        <f t="shared" ca="1" si="1"/>
        <v>600</v>
      </c>
    </row>
    <row r="126" spans="1:6" ht="14.1" customHeight="1" x14ac:dyDescent="0.25">
      <c r="A126" s="64" t="s">
        <v>500</v>
      </c>
      <c r="B126" s="53" t="str">
        <f ca="1">IFERROR(INDEX(UNSPSCDes,MATCH(INDIRECT(ADDRESS(ROW(),COLUMN()-1,4)),UNSPSCCode,0)),IF(INDIRECT(ADDRESS(ROW(),COLUMN()-1,4))="44101802","Máquinas sumadoras",""))</f>
        <v>Máquinas sumadoras</v>
      </c>
      <c r="C126" s="65" t="str">
        <f>IFERROR(VLOOKUP("UD",'Informacion '!P:Q,2,FALSE),"")</f>
        <v>Unidad</v>
      </c>
      <c r="D126" s="64">
        <v>1</v>
      </c>
      <c r="E126" s="55">
        <v>1500</v>
      </c>
      <c r="F126" s="54">
        <f t="shared" ca="1" si="1"/>
        <v>1500</v>
      </c>
    </row>
    <row r="127" spans="1:6" ht="14.1" customHeight="1" x14ac:dyDescent="0.25">
      <c r="A127" s="64" t="s">
        <v>190</v>
      </c>
      <c r="B127" s="53" t="str">
        <f ca="1">IFERROR(INDEX(UNSPSCDes,MATCH(INDIRECT(ADDRESS(ROW(),COLUMN()-1,4)),UNSPSCCode,0)),IF(INDIRECT(ADDRESS(ROW(),COLUMN()-1,4))="44111515","Cajas u organizadores de almacenamiento de archivos",""))</f>
        <v>Cajas u organizadores de almacenamiento de archivos</v>
      </c>
      <c r="C127" s="65" t="str">
        <f>IFERROR(VLOOKUP("UD",'Informacion '!P:Q,2,FALSE),"")</f>
        <v>Unidad</v>
      </c>
      <c r="D127" s="64">
        <v>2</v>
      </c>
      <c r="E127" s="55">
        <v>11000</v>
      </c>
      <c r="F127" s="54">
        <f t="shared" ca="1" si="1"/>
        <v>22000</v>
      </c>
    </row>
    <row r="128" spans="1:6" ht="14.1" customHeight="1" x14ac:dyDescent="0.25">
      <c r="A128" s="64" t="s">
        <v>190</v>
      </c>
      <c r="B128" s="53" t="str">
        <f ca="1">IFERROR(INDEX(UNSPSCDes,MATCH(INDIRECT(ADDRESS(ROW(),COLUMN()-1,4)),UNSPSCCode,0)),IF(INDIRECT(ADDRESS(ROW(),COLUMN()-1,4))="44111515","Cajas u organizadores de almacenamiento de archivos",""))</f>
        <v>Cajas u organizadores de almacenamiento de archivos</v>
      </c>
      <c r="C128" s="65" t="str">
        <f>IFERROR(VLOOKUP("UD",'Informacion '!P:Q,2,FALSE),"")</f>
        <v>Unidad</v>
      </c>
      <c r="D128" s="64">
        <v>2</v>
      </c>
      <c r="E128" s="55">
        <v>5000</v>
      </c>
      <c r="F128" s="54">
        <f t="shared" ca="1" si="1"/>
        <v>10000</v>
      </c>
    </row>
    <row r="129" spans="1:9" ht="14.1" customHeight="1" x14ac:dyDescent="0.25">
      <c r="E129" s="66" t="s">
        <v>581</v>
      </c>
      <c r="F129" s="58">
        <f ca="1">SUM(Table7[MONTO TOTAL ESTIMADO])</f>
        <v>92390</v>
      </c>
      <c r="G129" s="26" t="str">
        <f>C83</f>
        <v>Bienes</v>
      </c>
      <c r="H129" s="26" t="str">
        <f>E83</f>
        <v>No</v>
      </c>
      <c r="I129" s="26" t="str">
        <f>D83</f>
        <v>Compras por debajo del Umbral</v>
      </c>
    </row>
    <row r="131" spans="1:9" ht="33.950000000000003" customHeight="1" x14ac:dyDescent="0.25">
      <c r="A131" s="48" t="s">
        <v>745</v>
      </c>
      <c r="B131" s="48" t="s">
        <v>7</v>
      </c>
      <c r="C131" s="48" t="s">
        <v>533</v>
      </c>
      <c r="D131" s="48" t="s">
        <v>668</v>
      </c>
      <c r="E131" s="48" t="s">
        <v>495</v>
      </c>
      <c r="F131" s="48" t="s">
        <v>506</v>
      </c>
    </row>
    <row r="132" spans="1:9" ht="14.1" customHeight="1" x14ac:dyDescent="0.25">
      <c r="A132" s="50" t="s">
        <v>345</v>
      </c>
      <c r="B132" s="50" t="s">
        <v>412</v>
      </c>
      <c r="C132" s="50" t="s">
        <v>809</v>
      </c>
      <c r="D132" s="50" t="s">
        <v>74</v>
      </c>
      <c r="E132" s="50" t="s">
        <v>810</v>
      </c>
      <c r="F132" s="50" t="s">
        <v>296</v>
      </c>
    </row>
    <row r="133" spans="1:9" ht="14.1" customHeight="1" x14ac:dyDescent="0.25">
      <c r="A133" s="67" t="s">
        <v>688</v>
      </c>
      <c r="B133" s="51" t="s">
        <v>372</v>
      </c>
      <c r="C133" s="60">
        <v>43955</v>
      </c>
      <c r="D133" s="67" t="s">
        <v>418</v>
      </c>
      <c r="E133" s="62" t="s">
        <v>613</v>
      </c>
      <c r="F133" s="63" t="s">
        <v>122</v>
      </c>
    </row>
    <row r="134" spans="1:9" ht="14.1" customHeight="1" x14ac:dyDescent="0.25">
      <c r="A134" s="68"/>
      <c r="B134" s="51" t="s">
        <v>72</v>
      </c>
      <c r="C134" s="61">
        <f>IF(C133="","",IF(AND(MONTH(C133)&gt;=1,MONTH(C133)&lt;=3),1,IF(AND(MONTH(C133)&gt;=4,MONTH(C133)&lt;=6),2,IF(AND(MONTH(C133)&gt;=7,MONTH(C133)&lt;=9),3,4))))</f>
        <v>2</v>
      </c>
      <c r="D134" s="68"/>
      <c r="E134" s="62" t="s">
        <v>91</v>
      </c>
      <c r="F134" s="63" t="s">
        <v>670</v>
      </c>
    </row>
    <row r="135" spans="1:9" ht="14.1" customHeight="1" x14ac:dyDescent="0.25">
      <c r="A135" s="68"/>
      <c r="B135" s="51" t="s">
        <v>602</v>
      </c>
      <c r="C135" s="60">
        <v>43964</v>
      </c>
      <c r="D135" s="68"/>
      <c r="E135" s="62" t="s">
        <v>121</v>
      </c>
      <c r="F135" s="63" t="s">
        <v>195</v>
      </c>
    </row>
    <row r="136" spans="1:9" ht="14.1" customHeight="1" x14ac:dyDescent="0.25">
      <c r="A136" s="68"/>
      <c r="B136" s="51" t="s">
        <v>72</v>
      </c>
      <c r="C136" s="61">
        <f>IF(C135="","",IF(AND(MONTH(C135)&gt;=1,MONTH(C135)&lt;=3),1,IF(AND(MONTH(C135)&gt;=4,MONTH(C135)&lt;=6),2,IF(AND(MONTH(C135)&gt;=7,MONTH(C135)&lt;=9),3,4))))</f>
        <v>2</v>
      </c>
      <c r="D136" s="68"/>
      <c r="E136" s="62" t="s">
        <v>618</v>
      </c>
      <c r="F136" s="63"/>
    </row>
    <row r="138" spans="1:9" ht="14.1" customHeight="1" x14ac:dyDescent="0.25">
      <c r="A138" s="56" t="s">
        <v>724</v>
      </c>
      <c r="B138" s="56" t="s">
        <v>736</v>
      </c>
      <c r="C138" s="56" t="s">
        <v>718</v>
      </c>
      <c r="D138" s="56" t="s">
        <v>701</v>
      </c>
      <c r="E138" s="56" t="s">
        <v>308</v>
      </c>
      <c r="F138" s="56" t="s">
        <v>703</v>
      </c>
    </row>
    <row r="139" spans="1:9" ht="14.1" customHeight="1" x14ac:dyDescent="0.25">
      <c r="A139" s="64" t="s">
        <v>631</v>
      </c>
      <c r="B139" s="53" t="str">
        <f ca="1">IFERROR(INDEX(UNSPSCDes,MATCH(INDIRECT(ADDRESS(ROW(),COLUMN()-1,4)),UNSPSCCode,0)),IF(INDIRECT(ADDRESS(ROW(),COLUMN()-1,4))="40151601","Compresores de aire",""))</f>
        <v>Compresores de aire</v>
      </c>
      <c r="C139" s="65" t="str">
        <f>IFERROR(VLOOKUP("UD",'Informacion '!P:Q,2,FALSE),"")</f>
        <v>Unidad</v>
      </c>
      <c r="D139" s="64">
        <v>1</v>
      </c>
      <c r="E139" s="55">
        <v>3500000</v>
      </c>
      <c r="F139" s="54">
        <f ca="1">INDIRECT(ADDRESS(ROW(),COLUMN()-2,4))*INDIRECT(ADDRESS(ROW(),COLUMN()-1,4))</f>
        <v>3500000</v>
      </c>
    </row>
    <row r="140" spans="1:9" ht="14.1" customHeight="1" x14ac:dyDescent="0.25">
      <c r="E140" s="66" t="s">
        <v>581</v>
      </c>
      <c r="F140" s="58">
        <f ca="1">SUM(Table8[MONTO TOTAL ESTIMADO])</f>
        <v>3500000</v>
      </c>
      <c r="G140" s="26" t="str">
        <f>C132</f>
        <v>Bienes</v>
      </c>
      <c r="H140" s="26" t="str">
        <f>E132</f>
        <v>No</v>
      </c>
      <c r="I140" s="26" t="str">
        <f>D132</f>
        <v>Comparacion de Precios</v>
      </c>
    </row>
    <row r="142" spans="1:9" ht="33.950000000000003" customHeight="1" x14ac:dyDescent="0.25">
      <c r="A142" s="48" t="s">
        <v>745</v>
      </c>
      <c r="B142" s="48" t="s">
        <v>7</v>
      </c>
      <c r="C142" s="48" t="s">
        <v>533</v>
      </c>
      <c r="D142" s="48" t="s">
        <v>668</v>
      </c>
      <c r="E142" s="48" t="s">
        <v>495</v>
      </c>
      <c r="F142" s="48" t="s">
        <v>506</v>
      </c>
    </row>
    <row r="143" spans="1:9" ht="14.1" customHeight="1" x14ac:dyDescent="0.25">
      <c r="A143" s="50" t="s">
        <v>384</v>
      </c>
      <c r="B143" s="50" t="s">
        <v>635</v>
      </c>
      <c r="C143" s="50" t="s">
        <v>809</v>
      </c>
      <c r="D143" s="50" t="s">
        <v>74</v>
      </c>
      <c r="E143" s="50" t="s">
        <v>810</v>
      </c>
      <c r="F143" s="50"/>
    </row>
    <row r="144" spans="1:9" ht="14.1" customHeight="1" x14ac:dyDescent="0.25">
      <c r="A144" s="67" t="s">
        <v>688</v>
      </c>
      <c r="B144" s="51" t="s">
        <v>372</v>
      </c>
      <c r="C144" s="60">
        <v>44117</v>
      </c>
      <c r="D144" s="67" t="s">
        <v>418</v>
      </c>
      <c r="E144" s="62" t="s">
        <v>613</v>
      </c>
      <c r="F144" s="63" t="s">
        <v>122</v>
      </c>
    </row>
    <row r="145" spans="1:9" ht="14.1" customHeight="1" x14ac:dyDescent="0.25">
      <c r="A145" s="68"/>
      <c r="B145" s="51" t="s">
        <v>72</v>
      </c>
      <c r="C145" s="61">
        <f>IF(C144="","",IF(AND(MONTH(C144)&gt;=1,MONTH(C144)&lt;=3),1,IF(AND(MONTH(C144)&gt;=4,MONTH(C144)&lt;=6),2,IF(AND(MONTH(C144)&gt;=7,MONTH(C144)&lt;=9),3,4))))</f>
        <v>4</v>
      </c>
      <c r="D145" s="68"/>
      <c r="E145" s="62" t="s">
        <v>91</v>
      </c>
      <c r="F145" s="63" t="s">
        <v>670</v>
      </c>
    </row>
    <row r="146" spans="1:9" ht="14.1" customHeight="1" x14ac:dyDescent="0.25">
      <c r="A146" s="68"/>
      <c r="B146" s="51" t="s">
        <v>602</v>
      </c>
      <c r="C146" s="60">
        <v>44127</v>
      </c>
      <c r="D146" s="68"/>
      <c r="E146" s="62" t="s">
        <v>121</v>
      </c>
      <c r="F146" s="63" t="s">
        <v>195</v>
      </c>
    </row>
    <row r="147" spans="1:9" ht="14.1" customHeight="1" x14ac:dyDescent="0.25">
      <c r="A147" s="68"/>
      <c r="B147" s="51" t="s">
        <v>72</v>
      </c>
      <c r="C147" s="61">
        <f>IF(C146="","",IF(AND(MONTH(C146)&gt;=1,MONTH(C146)&lt;=3),1,IF(AND(MONTH(C146)&gt;=4,MONTH(C146)&lt;=6),2,IF(AND(MONTH(C146)&gt;=7,MONTH(C146)&lt;=9),3,4))))</f>
        <v>4</v>
      </c>
      <c r="D147" s="68"/>
      <c r="E147" s="62" t="s">
        <v>618</v>
      </c>
      <c r="F147" s="63"/>
    </row>
    <row r="149" spans="1:9" ht="14.1" customHeight="1" x14ac:dyDescent="0.25">
      <c r="A149" s="56" t="s">
        <v>724</v>
      </c>
      <c r="B149" s="56" t="s">
        <v>736</v>
      </c>
      <c r="C149" s="56" t="s">
        <v>718</v>
      </c>
      <c r="D149" s="56" t="s">
        <v>701</v>
      </c>
      <c r="E149" s="56" t="s">
        <v>308</v>
      </c>
      <c r="F149" s="56" t="s">
        <v>703</v>
      </c>
    </row>
    <row r="150" spans="1:9" ht="14.1" customHeight="1" x14ac:dyDescent="0.25">
      <c r="A150" s="64" t="s">
        <v>617</v>
      </c>
      <c r="B150" s="53" t="str">
        <f ca="1">IFERROR(INDEX(UNSPSCDes,MATCH(INDIRECT(ADDRESS(ROW(),COLUMN()-1,4)),UNSPSCCode,0)),IF(INDIRECT(ADDRESS(ROW(),COLUMN()-1,4))="72102602","Instalación de ventanas, puertas o dispositivos",""))</f>
        <v>Instalación de ventanas, puertas o dispositivos</v>
      </c>
      <c r="C150" s="65" t="str">
        <f>IFERROR(VLOOKUP("UD",'Informacion '!P:Q,2,FALSE),"")</f>
        <v>Unidad</v>
      </c>
      <c r="D150" s="64">
        <v>12</v>
      </c>
      <c r="E150" s="55">
        <v>95000</v>
      </c>
      <c r="F150" s="54">
        <f ca="1">INDIRECT(ADDRESS(ROW(),COLUMN()-2,4))*INDIRECT(ADDRESS(ROW(),COLUMN()-1,4))</f>
        <v>1140000</v>
      </c>
    </row>
    <row r="151" spans="1:9" ht="14.1" customHeight="1" x14ac:dyDescent="0.25">
      <c r="A151" s="64" t="s">
        <v>617</v>
      </c>
      <c r="B151" s="53" t="str">
        <f ca="1">IFERROR(INDEX(UNSPSCDes,MATCH(INDIRECT(ADDRESS(ROW(),COLUMN()-1,4)),UNSPSCCode,0)),IF(INDIRECT(ADDRESS(ROW(),COLUMN()-1,4))="72102602","Instalación de ventanas, puertas o dispositivos",""))</f>
        <v>Instalación de ventanas, puertas o dispositivos</v>
      </c>
      <c r="C151" s="65" t="str">
        <f>IFERROR(VLOOKUP("UD",'Informacion '!P:Q,2,FALSE),"")</f>
        <v>Unidad</v>
      </c>
      <c r="D151" s="64">
        <v>12</v>
      </c>
      <c r="E151" s="55">
        <v>75000</v>
      </c>
      <c r="F151" s="54">
        <f ca="1">INDIRECT(ADDRESS(ROW(),COLUMN()-2,4))*INDIRECT(ADDRESS(ROW(),COLUMN()-1,4))</f>
        <v>900000</v>
      </c>
    </row>
    <row r="152" spans="1:9" ht="14.1" customHeight="1" x14ac:dyDescent="0.25">
      <c r="A152" s="64" t="s">
        <v>108</v>
      </c>
      <c r="B152" s="53" t="str">
        <f ca="1">IFERROR(INDEX(UNSPSCDes,MATCH(INDIRECT(ADDRESS(ROW(),COLUMN()-1,4)),UNSPSCCode,0)),IF(INDIRECT(ADDRESS(ROW(),COLUMN()-1,4))="73151701","Servicios de tratamiento de materiales  de impermeabilización",""))</f>
        <v>Servicios de tratamiento de materiales  de impermeabilización</v>
      </c>
      <c r="C152" s="65" t="str">
        <f>IFERROR(VLOOKUP("UD",'Informacion '!P:Q,2,FALSE),"")</f>
        <v>Unidad</v>
      </c>
      <c r="D152" s="64">
        <v>1</v>
      </c>
      <c r="E152" s="55">
        <v>450000</v>
      </c>
      <c r="F152" s="54">
        <f ca="1">INDIRECT(ADDRESS(ROW(),COLUMN()-2,4))*INDIRECT(ADDRESS(ROW(),COLUMN()-1,4))</f>
        <v>450000</v>
      </c>
    </row>
    <row r="153" spans="1:9" ht="14.1" customHeight="1" x14ac:dyDescent="0.25">
      <c r="E153" s="66" t="s">
        <v>581</v>
      </c>
      <c r="F153" s="58">
        <f ca="1">SUM(Table9[MONTO TOTAL ESTIMADO])</f>
        <v>2490000</v>
      </c>
      <c r="G153" s="26" t="str">
        <f>C143</f>
        <v>Bienes</v>
      </c>
      <c r="H153" s="26" t="str">
        <f>E143</f>
        <v>No</v>
      </c>
      <c r="I153" s="26" t="str">
        <f>D143</f>
        <v>Comparacion de Precios</v>
      </c>
    </row>
    <row r="155" spans="1:9" ht="33.950000000000003" customHeight="1" x14ac:dyDescent="0.25">
      <c r="A155" s="48" t="s">
        <v>745</v>
      </c>
      <c r="B155" s="48" t="s">
        <v>7</v>
      </c>
      <c r="C155" s="48" t="s">
        <v>533</v>
      </c>
      <c r="D155" s="48" t="s">
        <v>668</v>
      </c>
      <c r="E155" s="48" t="s">
        <v>495</v>
      </c>
      <c r="F155" s="48" t="s">
        <v>506</v>
      </c>
    </row>
    <row r="156" spans="1:9" ht="14.1" customHeight="1" x14ac:dyDescent="0.25">
      <c r="A156" s="50" t="s">
        <v>681</v>
      </c>
      <c r="B156" s="50" t="s">
        <v>801</v>
      </c>
      <c r="C156" s="50" t="s">
        <v>809</v>
      </c>
      <c r="D156" s="50" t="s">
        <v>74</v>
      </c>
      <c r="E156" s="50" t="s">
        <v>810</v>
      </c>
      <c r="F156" s="50"/>
    </row>
    <row r="157" spans="1:9" ht="14.1" customHeight="1" x14ac:dyDescent="0.25">
      <c r="A157" s="67" t="s">
        <v>688</v>
      </c>
      <c r="B157" s="51" t="s">
        <v>372</v>
      </c>
      <c r="C157" s="60">
        <v>44075</v>
      </c>
      <c r="D157" s="67" t="s">
        <v>418</v>
      </c>
      <c r="E157" s="62" t="s">
        <v>613</v>
      </c>
      <c r="F157" s="63" t="s">
        <v>122</v>
      </c>
    </row>
    <row r="158" spans="1:9" ht="14.1" customHeight="1" x14ac:dyDescent="0.25">
      <c r="A158" s="68"/>
      <c r="B158" s="51" t="s">
        <v>72</v>
      </c>
      <c r="C158" s="61">
        <f>IF(C157="","",IF(AND(MONTH(C157)&gt;=1,MONTH(C157)&lt;=3),1,IF(AND(MONTH(C157)&gt;=4,MONTH(C157)&lt;=6),2,IF(AND(MONTH(C157)&gt;=7,MONTH(C157)&lt;=9),3,4))))</f>
        <v>3</v>
      </c>
      <c r="D158" s="68"/>
      <c r="E158" s="62" t="s">
        <v>91</v>
      </c>
      <c r="F158" s="63" t="s">
        <v>670</v>
      </c>
    </row>
    <row r="159" spans="1:9" ht="14.1" customHeight="1" x14ac:dyDescent="0.25">
      <c r="A159" s="68"/>
      <c r="B159" s="51" t="s">
        <v>602</v>
      </c>
      <c r="C159" s="60">
        <v>44084</v>
      </c>
      <c r="D159" s="68"/>
      <c r="E159" s="62" t="s">
        <v>121</v>
      </c>
      <c r="F159" s="63" t="s">
        <v>195</v>
      </c>
    </row>
    <row r="160" spans="1:9" ht="14.1" customHeight="1" x14ac:dyDescent="0.25">
      <c r="A160" s="68"/>
      <c r="B160" s="51" t="s">
        <v>72</v>
      </c>
      <c r="C160" s="61">
        <f>IF(C159="","",IF(AND(MONTH(C159)&gt;=1,MONTH(C159)&lt;=3),1,IF(AND(MONTH(C159)&gt;=4,MONTH(C159)&lt;=6),2,IF(AND(MONTH(C159)&gt;=7,MONTH(C159)&lt;=9),3,4))))</f>
        <v>3</v>
      </c>
      <c r="D160" s="68"/>
      <c r="E160" s="62" t="s">
        <v>618</v>
      </c>
      <c r="F160" s="63"/>
    </row>
    <row r="162" spans="1:9" ht="14.1" customHeight="1" x14ac:dyDescent="0.25">
      <c r="A162" s="56" t="s">
        <v>724</v>
      </c>
      <c r="B162" s="56" t="s">
        <v>736</v>
      </c>
      <c r="C162" s="56" t="s">
        <v>718</v>
      </c>
      <c r="D162" s="56" t="s">
        <v>701</v>
      </c>
      <c r="E162" s="56" t="s">
        <v>308</v>
      </c>
      <c r="F162" s="56" t="s">
        <v>703</v>
      </c>
    </row>
    <row r="163" spans="1:9" ht="14.1" customHeight="1" x14ac:dyDescent="0.25">
      <c r="A163" s="64" t="s">
        <v>631</v>
      </c>
      <c r="B163" s="53" t="str">
        <f ca="1">IFERROR(INDEX(UNSPSCDes,MATCH(INDIRECT(ADDRESS(ROW(),COLUMN()-1,4)),UNSPSCCode,0)),IF(INDIRECT(ADDRESS(ROW(),COLUMN()-1,4))="40151601","Compresores de aire",""))</f>
        <v>Compresores de aire</v>
      </c>
      <c r="C163" s="65" t="str">
        <f>IFERROR(VLOOKUP("UD",'Informacion '!P:Q,2,FALSE),"")</f>
        <v>Unidad</v>
      </c>
      <c r="D163" s="64">
        <v>1</v>
      </c>
      <c r="E163" s="55">
        <v>1300000</v>
      </c>
      <c r="F163" s="54">
        <f ca="1">INDIRECT(ADDRESS(ROW(),COLUMN()-2,4))*INDIRECT(ADDRESS(ROW(),COLUMN()-1,4))</f>
        <v>1300000</v>
      </c>
    </row>
    <row r="164" spans="1:9" ht="14.1" customHeight="1" x14ac:dyDescent="0.25">
      <c r="E164" s="66" t="s">
        <v>581</v>
      </c>
      <c r="F164" s="58">
        <f ca="1">SUM(Table10[MONTO TOTAL ESTIMADO])</f>
        <v>1300000</v>
      </c>
      <c r="G164" s="26" t="str">
        <f>C156</f>
        <v>Bienes</v>
      </c>
      <c r="H164" s="26" t="str">
        <f>E156</f>
        <v>No</v>
      </c>
      <c r="I164" s="26" t="str">
        <f>D156</f>
        <v>Comparacion de Precios</v>
      </c>
    </row>
    <row r="166" spans="1:9" ht="33.950000000000003" customHeight="1" x14ac:dyDescent="0.25">
      <c r="A166" s="48" t="s">
        <v>745</v>
      </c>
      <c r="B166" s="48" t="s">
        <v>7</v>
      </c>
      <c r="C166" s="48" t="s">
        <v>533</v>
      </c>
      <c r="D166" s="48" t="s">
        <v>668</v>
      </c>
      <c r="E166" s="48" t="s">
        <v>495</v>
      </c>
      <c r="F166" s="48" t="s">
        <v>506</v>
      </c>
    </row>
    <row r="167" spans="1:9" ht="14.1" customHeight="1" x14ac:dyDescent="0.25">
      <c r="A167" s="50" t="s">
        <v>244</v>
      </c>
      <c r="B167" s="50" t="s">
        <v>244</v>
      </c>
      <c r="C167" s="50" t="s">
        <v>809</v>
      </c>
      <c r="D167" s="50" t="s">
        <v>792</v>
      </c>
      <c r="E167" s="50" t="s">
        <v>810</v>
      </c>
      <c r="F167" s="50" t="s">
        <v>296</v>
      </c>
    </row>
    <row r="168" spans="1:9" ht="14.1" customHeight="1" x14ac:dyDescent="0.25">
      <c r="A168" s="67" t="s">
        <v>688</v>
      </c>
      <c r="B168" s="51" t="s">
        <v>372</v>
      </c>
      <c r="C168" s="60">
        <v>43892</v>
      </c>
      <c r="D168" s="67" t="s">
        <v>418</v>
      </c>
      <c r="E168" s="62" t="s">
        <v>613</v>
      </c>
      <c r="F168" s="63" t="s">
        <v>122</v>
      </c>
    </row>
    <row r="169" spans="1:9" ht="14.1" customHeight="1" x14ac:dyDescent="0.25">
      <c r="A169" s="68"/>
      <c r="B169" s="51" t="s">
        <v>72</v>
      </c>
      <c r="C169" s="61">
        <f>IF(C168="","",IF(AND(MONTH(C168)&gt;=1,MONTH(C168)&lt;=3),1,IF(AND(MONTH(C168)&gt;=4,MONTH(C168)&lt;=6),2,IF(AND(MONTH(C168)&gt;=7,MONTH(C168)&lt;=9),3,4))))</f>
        <v>1</v>
      </c>
      <c r="D169" s="68"/>
      <c r="E169" s="62" t="s">
        <v>91</v>
      </c>
      <c r="F169" s="63" t="s">
        <v>670</v>
      </c>
    </row>
    <row r="170" spans="1:9" ht="14.1" customHeight="1" x14ac:dyDescent="0.25">
      <c r="A170" s="68"/>
      <c r="B170" s="51" t="s">
        <v>602</v>
      </c>
      <c r="C170" s="60">
        <v>43896</v>
      </c>
      <c r="D170" s="68"/>
      <c r="E170" s="62" t="s">
        <v>121</v>
      </c>
      <c r="F170" s="63" t="s">
        <v>195</v>
      </c>
    </row>
    <row r="171" spans="1:9" ht="14.1" customHeight="1" x14ac:dyDescent="0.25">
      <c r="A171" s="68"/>
      <c r="B171" s="51" t="s">
        <v>72</v>
      </c>
      <c r="C171" s="61">
        <f>IF(C170="","",IF(AND(MONTH(C170)&gt;=1,MONTH(C170)&lt;=3),1,IF(AND(MONTH(C170)&gt;=4,MONTH(C170)&lt;=6),2,IF(AND(MONTH(C170)&gt;=7,MONTH(C170)&lt;=9),3,4))))</f>
        <v>1</v>
      </c>
      <c r="D171" s="68"/>
      <c r="E171" s="62" t="s">
        <v>618</v>
      </c>
      <c r="F171" s="63"/>
    </row>
    <row r="173" spans="1:9" ht="14.1" customHeight="1" x14ac:dyDescent="0.25">
      <c r="A173" s="56" t="s">
        <v>724</v>
      </c>
      <c r="B173" s="56" t="s">
        <v>736</v>
      </c>
      <c r="C173" s="56" t="s">
        <v>718</v>
      </c>
      <c r="D173" s="56" t="s">
        <v>701</v>
      </c>
      <c r="E173" s="56" t="s">
        <v>308</v>
      </c>
      <c r="F173" s="56" t="s">
        <v>703</v>
      </c>
    </row>
    <row r="174" spans="1:9" ht="14.1" customHeight="1" x14ac:dyDescent="0.25">
      <c r="A174" s="64" t="s">
        <v>541</v>
      </c>
      <c r="B174" s="53" t="str">
        <f ca="1">IFERROR(INDEX(UNSPSCDes,MATCH(INDIRECT(ADDRESS(ROW(),COLUMN()-1,4)),UNSPSCCode,0)),IF(INDIRECT(ADDRESS(ROW(),COLUMN()-1,4))="27112126","Alicates planos",""))</f>
        <v>Alicates planos</v>
      </c>
      <c r="C174" s="65" t="str">
        <f>IFERROR(VLOOKUP("UD",'Informacion '!P:Q,2,FALSE),"")</f>
        <v>Unidad</v>
      </c>
      <c r="D174" s="64">
        <v>1</v>
      </c>
      <c r="E174" s="55">
        <v>900</v>
      </c>
      <c r="F174" s="54">
        <f t="shared" ref="F174:F205" ca="1" si="2">INDIRECT(ADDRESS(ROW(),COLUMN()-2,4))*INDIRECT(ADDRESS(ROW(),COLUMN()-1,4))</f>
        <v>900</v>
      </c>
    </row>
    <row r="175" spans="1:9" ht="14.1" customHeight="1" x14ac:dyDescent="0.25">
      <c r="A175" s="64" t="s">
        <v>92</v>
      </c>
      <c r="B175" s="53" t="str">
        <f ca="1">IFERROR(INDEX(UNSPSCDes,MATCH(INDIRECT(ADDRESS(ROW(),COLUMN()-1,4)),UNSPSCCode,0)),IF(INDIRECT(ADDRESS(ROW(),COLUMN()-1,4))="31201519","Cinta para reparar tubería o manguera",""))</f>
        <v>Cinta para reparar tubería o manguera</v>
      </c>
      <c r="C175" s="65" t="str">
        <f>IFERROR(VLOOKUP("UD",'Informacion '!P:Q,2,FALSE),"")</f>
        <v>Unidad</v>
      </c>
      <c r="D175" s="64">
        <v>7</v>
      </c>
      <c r="E175" s="55">
        <v>150</v>
      </c>
      <c r="F175" s="54">
        <f t="shared" ca="1" si="2"/>
        <v>1050</v>
      </c>
    </row>
    <row r="176" spans="1:9" ht="14.1" customHeight="1" x14ac:dyDescent="0.25">
      <c r="A176" s="64" t="s">
        <v>9</v>
      </c>
      <c r="B176" s="53" t="str">
        <f ca="1">IFERROR(INDEX(UNSPSCDes,MATCH(INDIRECT(ADDRESS(ROW(),COLUMN()-1,4)),UNSPSCCode,0)),IF(INDIRECT(ADDRESS(ROW(),COLUMN()-1,4))="27112001","Machetes",""))</f>
        <v>Machetes</v>
      </c>
      <c r="C176" s="65" t="str">
        <f>IFERROR(VLOOKUP("UD",'Informacion '!P:Q,2,FALSE),"")</f>
        <v>Unidad</v>
      </c>
      <c r="D176" s="64">
        <v>1</v>
      </c>
      <c r="E176" s="55">
        <v>300</v>
      </c>
      <c r="F176" s="54">
        <f t="shared" ca="1" si="2"/>
        <v>300</v>
      </c>
    </row>
    <row r="177" spans="1:6" ht="14.1" customHeight="1" x14ac:dyDescent="0.25">
      <c r="A177" s="64" t="s">
        <v>175</v>
      </c>
      <c r="B177" s="53" t="str">
        <f ca="1">IFERROR(INDEX(UNSPSCDes,MATCH(INDIRECT(ADDRESS(ROW(),COLUMN()-1,4)),UNSPSCCode,0)),IF(INDIRECT(ADDRESS(ROW(),COLUMN()-1,4))="27112004","Palas",""))</f>
        <v>Palas</v>
      </c>
      <c r="C177" s="65" t="str">
        <f>IFERROR(VLOOKUP("UD",'Informacion '!P:Q,2,FALSE),"")</f>
        <v>Unidad</v>
      </c>
      <c r="D177" s="64">
        <v>1</v>
      </c>
      <c r="E177" s="55">
        <v>500</v>
      </c>
      <c r="F177" s="54">
        <f t="shared" ca="1" si="2"/>
        <v>500</v>
      </c>
    </row>
    <row r="178" spans="1:6" ht="14.1" customHeight="1" x14ac:dyDescent="0.25">
      <c r="A178" s="64" t="s">
        <v>640</v>
      </c>
      <c r="B178" s="53" t="str">
        <f ca="1">IFERROR(INDEX(UNSPSCDes,MATCH(INDIRECT(ADDRESS(ROW(),COLUMN()-1,4)),UNSPSCCode,0)),IF(INDIRECT(ADDRESS(ROW(),COLUMN()-1,4))="27112007","Tijeras de podar",""))</f>
        <v>Tijeras de podar</v>
      </c>
      <c r="C178" s="65" t="str">
        <f>IFERROR(VLOOKUP("UD",'Informacion '!P:Q,2,FALSE),"")</f>
        <v>Unidad</v>
      </c>
      <c r="D178" s="64">
        <v>1</v>
      </c>
      <c r="E178" s="55">
        <v>2000</v>
      </c>
      <c r="F178" s="54">
        <f t="shared" ca="1" si="2"/>
        <v>2000</v>
      </c>
    </row>
    <row r="179" spans="1:6" ht="14.1" customHeight="1" x14ac:dyDescent="0.25">
      <c r="A179" s="64" t="s">
        <v>167</v>
      </c>
      <c r="B179" s="53" t="str">
        <f ca="1">IFERROR(INDEX(UNSPSCDes,MATCH(INDIRECT(ADDRESS(ROW(),COLUMN()-1,4)),UNSPSCCode,0)),IF(INDIRECT(ADDRESS(ROW(),COLUMN()-1,4))="11162108","Tela malla de alambre",""))</f>
        <v>Tela malla de alambre</v>
      </c>
      <c r="C179" s="65" t="str">
        <f>IFERROR(VLOOKUP("YD",'Informacion '!P:Q,2,FALSE),"")</f>
        <v>Yarda</v>
      </c>
      <c r="D179" s="64">
        <v>50</v>
      </c>
      <c r="E179" s="55">
        <v>40</v>
      </c>
      <c r="F179" s="54">
        <f t="shared" ca="1" si="2"/>
        <v>2000</v>
      </c>
    </row>
    <row r="180" spans="1:6" ht="14.1" customHeight="1" x14ac:dyDescent="0.25">
      <c r="A180" s="64" t="s">
        <v>545</v>
      </c>
      <c r="B180" s="53" t="str">
        <f ca="1">IFERROR(INDEX(UNSPSCDes,MATCH(INDIRECT(ADDRESS(ROW(),COLUMN()-1,4)),UNSPSCCode,0)),IF(INDIRECT(ADDRESS(ROW(),COLUMN()-1,4))="40142317","Codo de tubería",""))</f>
        <v>Codo de tubería</v>
      </c>
      <c r="C180" s="65" t="str">
        <f>IFERROR(VLOOKUP("UD",'Informacion '!P:Q,2,FALSE),"")</f>
        <v>Unidad</v>
      </c>
      <c r="D180" s="64">
        <v>25</v>
      </c>
      <c r="E180" s="55">
        <v>8</v>
      </c>
      <c r="F180" s="54">
        <f t="shared" ca="1" si="2"/>
        <v>200</v>
      </c>
    </row>
    <row r="181" spans="1:6" ht="14.1" customHeight="1" x14ac:dyDescent="0.25">
      <c r="A181" s="64" t="s">
        <v>75</v>
      </c>
      <c r="B181" s="53" t="str">
        <f ca="1">IFERROR(INDEX(UNSPSCDes,MATCH(INDIRECT(ADDRESS(ROW(),COLUMN()-1,4)),UNSPSCCode,0)),IF(INDIRECT(ADDRESS(ROW(),COLUMN()-1,4))="40142604","Codos de tubo",""))</f>
        <v>Codos de tubo</v>
      </c>
      <c r="C181" s="65" t="str">
        <f>IFERROR(VLOOKUP("UD",'Informacion '!P:Q,2,FALSE),"")</f>
        <v>Unidad</v>
      </c>
      <c r="D181" s="64">
        <v>25</v>
      </c>
      <c r="E181" s="55">
        <v>15</v>
      </c>
      <c r="F181" s="54">
        <f t="shared" ca="1" si="2"/>
        <v>375</v>
      </c>
    </row>
    <row r="182" spans="1:6" ht="14.1" customHeight="1" x14ac:dyDescent="0.25">
      <c r="A182" s="64" t="s">
        <v>545</v>
      </c>
      <c r="B182" s="53" t="str">
        <f ca="1">IFERROR(INDEX(UNSPSCDes,MATCH(INDIRECT(ADDRESS(ROW(),COLUMN()-1,4)),UNSPSCCode,0)),IF(INDIRECT(ADDRESS(ROW(),COLUMN()-1,4))="40142317","Codo de tubería",""))</f>
        <v>Codo de tubería</v>
      </c>
      <c r="C182" s="65" t="str">
        <f>IFERROR(VLOOKUP("UD",'Informacion '!P:Q,2,FALSE),"")</f>
        <v>Unidad</v>
      </c>
      <c r="D182" s="64">
        <v>12</v>
      </c>
      <c r="E182" s="55">
        <v>25</v>
      </c>
      <c r="F182" s="54">
        <f t="shared" ca="1" si="2"/>
        <v>300</v>
      </c>
    </row>
    <row r="183" spans="1:6" ht="14.1" customHeight="1" x14ac:dyDescent="0.25">
      <c r="A183" s="64" t="s">
        <v>75</v>
      </c>
      <c r="B183" s="53" t="str">
        <f ca="1">IFERROR(INDEX(UNSPSCDes,MATCH(INDIRECT(ADDRESS(ROW(),COLUMN()-1,4)),UNSPSCCode,0)),IF(INDIRECT(ADDRESS(ROW(),COLUMN()-1,4))="40142604","Codos de tubo",""))</f>
        <v>Codos de tubo</v>
      </c>
      <c r="C183" s="65" t="str">
        <f>IFERROR(VLOOKUP("UD",'Informacion '!P:Q,2,FALSE),"")</f>
        <v>Unidad</v>
      </c>
      <c r="D183" s="64">
        <v>12</v>
      </c>
      <c r="E183" s="55">
        <v>30</v>
      </c>
      <c r="F183" s="54">
        <f t="shared" ca="1" si="2"/>
        <v>360</v>
      </c>
    </row>
    <row r="184" spans="1:6" ht="14.1" customHeight="1" x14ac:dyDescent="0.25">
      <c r="A184" s="64" t="s">
        <v>75</v>
      </c>
      <c r="B184" s="53" t="str">
        <f ca="1">IFERROR(INDEX(UNSPSCDes,MATCH(INDIRECT(ADDRESS(ROW(),COLUMN()-1,4)),UNSPSCCode,0)),IF(INDIRECT(ADDRESS(ROW(),COLUMN()-1,4))="40142604","Codos de tubo",""))</f>
        <v>Codos de tubo</v>
      </c>
      <c r="C184" s="65" t="str">
        <f>IFERROR(VLOOKUP("UD",'Informacion '!P:Q,2,FALSE),"")</f>
        <v>Unidad</v>
      </c>
      <c r="D184" s="64">
        <v>25</v>
      </c>
      <c r="E184" s="55">
        <v>10</v>
      </c>
      <c r="F184" s="54">
        <f t="shared" ca="1" si="2"/>
        <v>250</v>
      </c>
    </row>
    <row r="185" spans="1:6" ht="14.1" customHeight="1" x14ac:dyDescent="0.25">
      <c r="A185" s="64" t="s">
        <v>625</v>
      </c>
      <c r="B185" s="53" t="str">
        <f t="shared" ref="B185:B190" ca="1" si="3">IFERROR(INDEX(UNSPSCDes,MATCH(INDIRECT(ADDRESS(ROW(),COLUMN()-1,4)),UNSPSCCode,0)),IF(INDIRECT(ADDRESS(ROW(),COLUMN()-1,4))="40142612","Adaptadores de tubo",""))</f>
        <v>Adaptadores de tubo</v>
      </c>
      <c r="C185" s="65" t="str">
        <f>IFERROR(VLOOKUP("UD",'Informacion '!P:Q,2,FALSE),"")</f>
        <v>Unidad</v>
      </c>
      <c r="D185" s="64">
        <v>12</v>
      </c>
      <c r="E185" s="55">
        <v>4</v>
      </c>
      <c r="F185" s="54">
        <f t="shared" ca="1" si="2"/>
        <v>48</v>
      </c>
    </row>
    <row r="186" spans="1:6" ht="14.1" customHeight="1" x14ac:dyDescent="0.25">
      <c r="A186" s="64" t="s">
        <v>625</v>
      </c>
      <c r="B186" s="53" t="str">
        <f t="shared" ca="1" si="3"/>
        <v>Adaptadores de tubo</v>
      </c>
      <c r="C186" s="65" t="str">
        <f>IFERROR(VLOOKUP("UD",'Informacion '!P:Q,2,FALSE),"")</f>
        <v>Unidad</v>
      </c>
      <c r="D186" s="64">
        <v>12</v>
      </c>
      <c r="E186" s="55">
        <v>8</v>
      </c>
      <c r="F186" s="54">
        <f t="shared" ca="1" si="2"/>
        <v>96</v>
      </c>
    </row>
    <row r="187" spans="1:6" ht="14.1" customHeight="1" x14ac:dyDescent="0.25">
      <c r="A187" s="64" t="s">
        <v>625</v>
      </c>
      <c r="B187" s="53" t="str">
        <f t="shared" ca="1" si="3"/>
        <v>Adaptadores de tubo</v>
      </c>
      <c r="C187" s="65" t="str">
        <f>IFERROR(VLOOKUP("UD",'Informacion '!P:Q,2,FALSE),"")</f>
        <v>Unidad</v>
      </c>
      <c r="D187" s="64">
        <v>12</v>
      </c>
      <c r="E187" s="55">
        <v>6</v>
      </c>
      <c r="F187" s="54">
        <f t="shared" ca="1" si="2"/>
        <v>72</v>
      </c>
    </row>
    <row r="188" spans="1:6" ht="14.1" customHeight="1" x14ac:dyDescent="0.25">
      <c r="A188" s="64" t="s">
        <v>625</v>
      </c>
      <c r="B188" s="53" t="str">
        <f t="shared" ca="1" si="3"/>
        <v>Adaptadores de tubo</v>
      </c>
      <c r="C188" s="65" t="str">
        <f>IFERROR(VLOOKUP("UD",'Informacion '!P:Q,2,FALSE),"")</f>
        <v>Unidad</v>
      </c>
      <c r="D188" s="64">
        <v>12</v>
      </c>
      <c r="E188" s="55">
        <v>5</v>
      </c>
      <c r="F188" s="54">
        <f t="shared" ca="1" si="2"/>
        <v>60</v>
      </c>
    </row>
    <row r="189" spans="1:6" ht="14.1" customHeight="1" x14ac:dyDescent="0.25">
      <c r="A189" s="64" t="s">
        <v>625</v>
      </c>
      <c r="B189" s="53" t="str">
        <f t="shared" ca="1" si="3"/>
        <v>Adaptadores de tubo</v>
      </c>
      <c r="C189" s="65" t="str">
        <f>IFERROR(VLOOKUP("UD",'Informacion '!P:Q,2,FALSE),"")</f>
        <v>Unidad</v>
      </c>
      <c r="D189" s="64">
        <v>12</v>
      </c>
      <c r="E189" s="55">
        <v>10</v>
      </c>
      <c r="F189" s="54">
        <f t="shared" ca="1" si="2"/>
        <v>120</v>
      </c>
    </row>
    <row r="190" spans="1:6" ht="14.1" customHeight="1" x14ac:dyDescent="0.25">
      <c r="A190" s="64" t="s">
        <v>625</v>
      </c>
      <c r="B190" s="53" t="str">
        <f t="shared" ca="1" si="3"/>
        <v>Adaptadores de tubo</v>
      </c>
      <c r="C190" s="65" t="str">
        <f>IFERROR(VLOOKUP("UD",'Informacion '!P:Q,2,FALSE),"")</f>
        <v>Unidad</v>
      </c>
      <c r="D190" s="64">
        <v>12</v>
      </c>
      <c r="E190" s="55">
        <v>17</v>
      </c>
      <c r="F190" s="54">
        <f t="shared" ca="1" si="2"/>
        <v>204</v>
      </c>
    </row>
    <row r="191" spans="1:6" ht="14.1" customHeight="1" x14ac:dyDescent="0.25">
      <c r="A191" s="64" t="s">
        <v>342</v>
      </c>
      <c r="B191" s="53" t="str">
        <f ca="1">IFERROR(INDEX(UNSPSCDes,MATCH(INDIRECT(ADDRESS(ROW(),COLUMN()-1,4)),UNSPSCCode,0)),IF(INDIRECT(ADDRESS(ROW(),COLUMN()-1,4))="31162002","Clavos de sombrerete",""))</f>
        <v>Clavos de sombrerete</v>
      </c>
      <c r="C191" s="65" t="str">
        <f>IFERROR(VLOOKUP("LB",'Informacion '!P:Q,2,FALSE),"")</f>
        <v>Libra </v>
      </c>
      <c r="D191" s="64">
        <v>5</v>
      </c>
      <c r="E191" s="55">
        <v>40</v>
      </c>
      <c r="F191" s="54">
        <f t="shared" ca="1" si="2"/>
        <v>200</v>
      </c>
    </row>
    <row r="192" spans="1:6" ht="14.1" customHeight="1" x14ac:dyDescent="0.25">
      <c r="A192" s="64" t="s">
        <v>32</v>
      </c>
      <c r="B192" s="53" t="str">
        <f ca="1">IFERROR(INDEX(UNSPSCDes,MATCH(INDIRECT(ADDRESS(ROW(),COLUMN()-1,4)),UNSPSCCode,0)),IF(INDIRECT(ADDRESS(ROW(),COLUMN()-1,4))="56101528","Plantas artificiales",""))</f>
        <v>Plantas artificiales</v>
      </c>
      <c r="C192" s="65" t="str">
        <f>IFERROR(VLOOKUP("UD",'Informacion '!P:Q,2,FALSE),"")</f>
        <v>Unidad</v>
      </c>
      <c r="D192" s="64">
        <v>10</v>
      </c>
      <c r="E192" s="55">
        <v>250</v>
      </c>
      <c r="F192" s="54">
        <f t="shared" ca="1" si="2"/>
        <v>2500</v>
      </c>
    </row>
    <row r="193" spans="1:6" ht="14.1" customHeight="1" x14ac:dyDescent="0.25">
      <c r="A193" s="64" t="s">
        <v>380</v>
      </c>
      <c r="B193" s="53" t="str">
        <f ca="1">IFERROR(INDEX(UNSPSCDes,MATCH(INDIRECT(ADDRESS(ROW(),COLUMN()-1,4)),UNSPSCCode,0)),IF(INDIRECT(ADDRESS(ROW(),COLUMN()-1,4))="30181513","Tapas de inodoro",""))</f>
        <v>Tapas de inodoro</v>
      </c>
      <c r="C193" s="65" t="str">
        <f>IFERROR(VLOOKUP("UD",'Informacion '!P:Q,2,FALSE),"")</f>
        <v>Unidad</v>
      </c>
      <c r="D193" s="64">
        <v>2</v>
      </c>
      <c r="E193" s="55">
        <v>850</v>
      </c>
      <c r="F193" s="54">
        <f t="shared" ca="1" si="2"/>
        <v>1700</v>
      </c>
    </row>
    <row r="194" spans="1:6" ht="14.1" customHeight="1" x14ac:dyDescent="0.25">
      <c r="A194" s="64" t="s">
        <v>646</v>
      </c>
      <c r="B194" s="53" t="str">
        <f ca="1">IFERROR(INDEX(UNSPSCDes,MATCH(INDIRECT(ADDRESS(ROW(),COLUMN()-1,4)),UNSPSCCode,0)),IF(INDIRECT(ADDRESS(ROW(),COLUMN()-1,4))="10141606","Correas o traíllas",""))</f>
        <v>Correas o traíllas</v>
      </c>
      <c r="C194" s="65" t="str">
        <f>IFERROR(VLOOKUP("PAQ",'Informacion '!P:Q,2,FALSE),"")</f>
        <v>Paquete</v>
      </c>
      <c r="D194" s="64">
        <v>1</v>
      </c>
      <c r="E194" s="55">
        <v>100</v>
      </c>
      <c r="F194" s="54">
        <f t="shared" ca="1" si="2"/>
        <v>100</v>
      </c>
    </row>
    <row r="195" spans="1:6" ht="14.1" customHeight="1" x14ac:dyDescent="0.25">
      <c r="A195" s="64" t="s">
        <v>646</v>
      </c>
      <c r="B195" s="53" t="str">
        <f ca="1">IFERROR(INDEX(UNSPSCDes,MATCH(INDIRECT(ADDRESS(ROW(),COLUMN()-1,4)),UNSPSCCode,0)),IF(INDIRECT(ADDRESS(ROW(),COLUMN()-1,4))="10141606","Correas o traíllas",""))</f>
        <v>Correas o traíllas</v>
      </c>
      <c r="C195" s="65" t="str">
        <f>IFERROR(VLOOKUP("PAQ",'Informacion '!P:Q,2,FALSE),"")</f>
        <v>Paquete</v>
      </c>
      <c r="D195" s="64">
        <v>1</v>
      </c>
      <c r="E195" s="55">
        <v>150</v>
      </c>
      <c r="F195" s="54">
        <f t="shared" ca="1" si="2"/>
        <v>150</v>
      </c>
    </row>
    <row r="196" spans="1:6" ht="14.1" customHeight="1" x14ac:dyDescent="0.25">
      <c r="A196" s="64" t="s">
        <v>382</v>
      </c>
      <c r="B196" s="53" t="str">
        <f ca="1">IFERROR(INDEX(UNSPSCDes,MATCH(INDIRECT(ADDRESS(ROW(),COLUMN()-1,4)),UNSPSCCode,0)),IF(INDIRECT(ADDRESS(ROW(),COLUMN()-1,4))="30102521","Hoja de goma de espuma",""))</f>
        <v>Hoja de goma de espuma</v>
      </c>
      <c r="C196" s="65" t="str">
        <f>IFERROR(VLOOKUP("UD",'Informacion '!P:Q,2,FALSE),"")</f>
        <v>Unidad</v>
      </c>
      <c r="D196" s="64">
        <v>3</v>
      </c>
      <c r="E196" s="55">
        <v>100</v>
      </c>
      <c r="F196" s="54">
        <f t="shared" ca="1" si="2"/>
        <v>300</v>
      </c>
    </row>
    <row r="197" spans="1:6" ht="14.1" customHeight="1" x14ac:dyDescent="0.25">
      <c r="A197" s="64" t="s">
        <v>530</v>
      </c>
      <c r="B197" s="53" t="str">
        <f ca="1">IFERROR(INDEX(UNSPSCDes,MATCH(INDIRECT(ADDRESS(ROW(),COLUMN()-1,4)),UNSPSCCode,0)),IF(INDIRECT(ADDRESS(ROW(),COLUMN()-1,4))="31162906","Abrazaderas de manguera o tubo",""))</f>
        <v>Abrazaderas de manguera o tubo</v>
      </c>
      <c r="C197" s="65" t="str">
        <f>IFERROR(VLOOKUP("UD",'Informacion '!P:Q,2,FALSE),"")</f>
        <v>Unidad</v>
      </c>
      <c r="D197" s="64">
        <v>15</v>
      </c>
      <c r="E197" s="55">
        <v>20</v>
      </c>
      <c r="F197" s="54">
        <f t="shared" ca="1" si="2"/>
        <v>300</v>
      </c>
    </row>
    <row r="198" spans="1:6" ht="14.1" customHeight="1" x14ac:dyDescent="0.25">
      <c r="A198" s="64" t="s">
        <v>509</v>
      </c>
      <c r="B198" s="53" t="str">
        <f ca="1">IFERROR(INDEX(UNSPSCDes,MATCH(INDIRECT(ADDRESS(ROW(),COLUMN()-1,4)),UNSPSCCode,0)),IF(INDIRECT(ADDRESS(ROW(),COLUMN()-1,4))="40142002","Mangueras de aire",""))</f>
        <v>Mangueras de aire</v>
      </c>
      <c r="C198" s="65" t="str">
        <f>IFERROR(VLOOKUP("UD",'Informacion '!P:Q,2,FALSE),"")</f>
        <v>Unidad</v>
      </c>
      <c r="D198" s="64">
        <v>1</v>
      </c>
      <c r="E198" s="55">
        <v>750</v>
      </c>
      <c r="F198" s="54">
        <f t="shared" ca="1" si="2"/>
        <v>750</v>
      </c>
    </row>
    <row r="199" spans="1:6" ht="14.1" customHeight="1" x14ac:dyDescent="0.25">
      <c r="A199" s="64" t="s">
        <v>451</v>
      </c>
      <c r="B199" s="53" t="str">
        <f ca="1">IFERROR(INDEX(UNSPSCDes,MATCH(INDIRECT(ADDRESS(ROW(),COLUMN()-1,4)),UNSPSCCode,0)),IF(INDIRECT(ADDRESS(ROW(),COLUMN()-1,4))="40142008","Mangueras de agua",""))</f>
        <v>Mangueras de agua</v>
      </c>
      <c r="C199" s="65" t="str">
        <f>IFERROR(VLOOKUP("UD",'Informacion '!P:Q,2,FALSE),"")</f>
        <v>Unidad</v>
      </c>
      <c r="D199" s="64">
        <v>2</v>
      </c>
      <c r="E199" s="55">
        <v>2500</v>
      </c>
      <c r="F199" s="54">
        <f t="shared" ca="1" si="2"/>
        <v>5000</v>
      </c>
    </row>
    <row r="200" spans="1:6" ht="14.1" customHeight="1" x14ac:dyDescent="0.25">
      <c r="A200" s="64" t="s">
        <v>346</v>
      </c>
      <c r="B200" s="53" t="str">
        <f ca="1">IFERROR(INDEX(UNSPSCDes,MATCH(INDIRECT(ADDRESS(ROW(),COLUMN()-1,4)),UNSPSCCode,0)),IF(INDIRECT(ADDRESS(ROW(),COLUMN()-1,4))="12352310","Siliconas",""))</f>
        <v>Siliconas</v>
      </c>
      <c r="C200" s="65" t="str">
        <f>IFERROR(VLOOKUP("UD",'Informacion '!P:Q,2,FALSE),"")</f>
        <v>Unidad</v>
      </c>
      <c r="D200" s="64">
        <v>10</v>
      </c>
      <c r="E200" s="55">
        <v>175</v>
      </c>
      <c r="F200" s="54">
        <f t="shared" ca="1" si="2"/>
        <v>1750</v>
      </c>
    </row>
    <row r="201" spans="1:6" ht="14.1" customHeight="1" x14ac:dyDescent="0.25">
      <c r="A201" s="64" t="s">
        <v>25</v>
      </c>
      <c r="B201" s="53" t="str">
        <f ca="1">IFERROR(INDEX(UNSPSCDes,MATCH(INDIRECT(ADDRESS(ROW(),COLUMN()-1,4)),UNSPSCCode,0)),IF(INDIRECT(ADDRESS(ROW(),COLUMN()-1,4))="27111509","Barrenas",""))</f>
        <v>Barrenas</v>
      </c>
      <c r="C201" s="65" t="str">
        <f>IFERROR(VLOOKUP("UD",'Informacion '!P:Q,2,FALSE),"")</f>
        <v>Unidad</v>
      </c>
      <c r="D201" s="64">
        <v>5</v>
      </c>
      <c r="E201" s="55">
        <v>100</v>
      </c>
      <c r="F201" s="54">
        <f t="shared" ca="1" si="2"/>
        <v>500</v>
      </c>
    </row>
    <row r="202" spans="1:6" ht="14.1" customHeight="1" x14ac:dyDescent="0.25">
      <c r="A202" s="64" t="s">
        <v>25</v>
      </c>
      <c r="B202" s="53" t="str">
        <f ca="1">IFERROR(INDEX(UNSPSCDes,MATCH(INDIRECT(ADDRESS(ROW(),COLUMN()-1,4)),UNSPSCCode,0)),IF(INDIRECT(ADDRESS(ROW(),COLUMN()-1,4))="27111509","Barrenas",""))</f>
        <v>Barrenas</v>
      </c>
      <c r="C202" s="65" t="str">
        <f>IFERROR(VLOOKUP("UD",'Informacion '!P:Q,2,FALSE),"")</f>
        <v>Unidad</v>
      </c>
      <c r="D202" s="64">
        <v>5</v>
      </c>
      <c r="E202" s="55">
        <v>75</v>
      </c>
      <c r="F202" s="54">
        <f t="shared" ca="1" si="2"/>
        <v>375</v>
      </c>
    </row>
    <row r="203" spans="1:6" ht="14.1" customHeight="1" x14ac:dyDescent="0.25">
      <c r="A203" s="64" t="s">
        <v>167</v>
      </c>
      <c r="B203" s="53" t="str">
        <f ca="1">IFERROR(INDEX(UNSPSCDes,MATCH(INDIRECT(ADDRESS(ROW(),COLUMN()-1,4)),UNSPSCCode,0)),IF(INDIRECT(ADDRESS(ROW(),COLUMN()-1,4))="11162108","Tela malla de alambre",""))</f>
        <v>Tela malla de alambre</v>
      </c>
      <c r="C203" s="65" t="str">
        <f>IFERROR(VLOOKUP("UD",'Informacion '!P:Q,2,FALSE),"")</f>
        <v>Unidad</v>
      </c>
      <c r="D203" s="64">
        <v>1</v>
      </c>
      <c r="E203" s="55">
        <v>500</v>
      </c>
      <c r="F203" s="54">
        <f t="shared" ca="1" si="2"/>
        <v>500</v>
      </c>
    </row>
    <row r="204" spans="1:6" ht="14.1" customHeight="1" x14ac:dyDescent="0.25">
      <c r="A204" s="64" t="s">
        <v>176</v>
      </c>
      <c r="B204" s="53" t="str">
        <f ca="1">IFERROR(INDEX(UNSPSCDes,MATCH(INDIRECT(ADDRESS(ROW(),COLUMN()-1,4)),UNSPSCCode,0)),IF(INDIRECT(ADDRESS(ROW(),COLUMN()-1,4))="31151504","Cuerda de nylon",""))</f>
        <v>Cuerda de nylon</v>
      </c>
      <c r="C204" s="65" t="str">
        <f>IFERROR(VLOOKUP("UD",'Informacion '!P:Q,2,FALSE),"")</f>
        <v>Unidad</v>
      </c>
      <c r="D204" s="64">
        <v>1</v>
      </c>
      <c r="E204" s="55">
        <v>450</v>
      </c>
      <c r="F204" s="54">
        <f t="shared" ca="1" si="2"/>
        <v>450</v>
      </c>
    </row>
    <row r="205" spans="1:6" ht="14.1" customHeight="1" x14ac:dyDescent="0.25">
      <c r="A205" s="64" t="s">
        <v>176</v>
      </c>
      <c r="B205" s="53" t="str">
        <f ca="1">IFERROR(INDEX(UNSPSCDes,MATCH(INDIRECT(ADDRESS(ROW(),COLUMN()-1,4)),UNSPSCCode,0)),IF(INDIRECT(ADDRESS(ROW(),COLUMN()-1,4))="31151504","Cuerda de nylon",""))</f>
        <v>Cuerda de nylon</v>
      </c>
      <c r="C205" s="65" t="str">
        <f>IFERROR(VLOOKUP("UD",'Informacion '!P:Q,2,FALSE),"")</f>
        <v>Unidad</v>
      </c>
      <c r="D205" s="64">
        <v>1</v>
      </c>
      <c r="E205" s="55">
        <v>480</v>
      </c>
      <c r="F205" s="54">
        <f t="shared" ca="1" si="2"/>
        <v>480</v>
      </c>
    </row>
    <row r="206" spans="1:6" ht="14.1" customHeight="1" x14ac:dyDescent="0.25">
      <c r="A206" s="64" t="s">
        <v>378</v>
      </c>
      <c r="B206" s="53" t="str">
        <f ca="1">IFERROR(INDEX(UNSPSCDes,MATCH(INDIRECT(ADDRESS(ROW(),COLUMN()-1,4)),UNSPSCCode,0)),IF(INDIRECT(ADDRESS(ROW(),COLUMN()-1,4))="27111503","Cuchillos de diversas aplicaciones",""))</f>
        <v>Cuchillos de diversas aplicaciones</v>
      </c>
      <c r="C206" s="65" t="str">
        <f>IFERROR(VLOOKUP("UD",'Informacion '!P:Q,2,FALSE),"")</f>
        <v>Unidad</v>
      </c>
      <c r="D206" s="64">
        <v>5</v>
      </c>
      <c r="E206" s="55">
        <v>250</v>
      </c>
      <c r="F206" s="54">
        <f t="shared" ref="F206:F237" ca="1" si="4">INDIRECT(ADDRESS(ROW(),COLUMN()-2,4))*INDIRECT(ADDRESS(ROW(),COLUMN()-1,4))</f>
        <v>1250</v>
      </c>
    </row>
    <row r="207" spans="1:6" ht="14.1" customHeight="1" x14ac:dyDescent="0.25">
      <c r="A207" s="64" t="s">
        <v>223</v>
      </c>
      <c r="B207" s="53" t="str">
        <f ca="1">IFERROR(INDEX(UNSPSCDes,MATCH(INDIRECT(ADDRESS(ROW(),COLUMN()-1,4)),UNSPSCCode,0)),IF(INDIRECT(ADDRESS(ROW(),COLUMN()-1,4))="11162124","Tela de fieltro",""))</f>
        <v>Tela de fieltro</v>
      </c>
      <c r="C207" s="65" t="str">
        <f>IFERROR(VLOOKUP("YD",'Informacion '!P:Q,2,FALSE),"")</f>
        <v>Yarda</v>
      </c>
      <c r="D207" s="64">
        <v>12</v>
      </c>
      <c r="E207" s="55">
        <v>100</v>
      </c>
      <c r="F207" s="54">
        <f t="shared" ca="1" si="4"/>
        <v>1200</v>
      </c>
    </row>
    <row r="208" spans="1:6" ht="14.1" customHeight="1" x14ac:dyDescent="0.25">
      <c r="A208" s="64" t="s">
        <v>455</v>
      </c>
      <c r="B208" s="53" t="str">
        <f ca="1">IFERROR(INDEX(UNSPSCDes,MATCH(INDIRECT(ADDRESS(ROW(),COLUMN()-1,4)),UNSPSCCode,0)),IF(INDIRECT(ADDRESS(ROW(),COLUMN()-1,4))="30111601","Cemento",""))</f>
        <v>Cemento</v>
      </c>
      <c r="C208" s="65" t="str">
        <f>IFERROR(VLOOKUP("UD",'Informacion '!P:Q,2,FALSE),"")</f>
        <v>Unidad</v>
      </c>
      <c r="D208" s="64">
        <v>1</v>
      </c>
      <c r="E208" s="55">
        <v>350</v>
      </c>
      <c r="F208" s="54">
        <f t="shared" ca="1" si="4"/>
        <v>350</v>
      </c>
    </row>
    <row r="209" spans="1:6" ht="14.1" customHeight="1" x14ac:dyDescent="0.25">
      <c r="A209" s="64" t="s">
        <v>176</v>
      </c>
      <c r="B209" s="53" t="str">
        <f ca="1">IFERROR(INDEX(UNSPSCDes,MATCH(INDIRECT(ADDRESS(ROW(),COLUMN()-1,4)),UNSPSCCode,0)),IF(INDIRECT(ADDRESS(ROW(),COLUMN()-1,4))="31151504","Cuerda de nylon",""))</f>
        <v>Cuerda de nylon</v>
      </c>
      <c r="C209" s="65" t="str">
        <f>IFERROR(VLOOKUP("UD",'Informacion '!P:Q,2,FALSE),"")</f>
        <v>Unidad</v>
      </c>
      <c r="D209" s="64">
        <v>1</v>
      </c>
      <c r="E209" s="55">
        <v>12550</v>
      </c>
      <c r="F209" s="54">
        <f t="shared" ca="1" si="4"/>
        <v>12550</v>
      </c>
    </row>
    <row r="210" spans="1:6" ht="14.1" customHeight="1" x14ac:dyDescent="0.25">
      <c r="A210" s="64" t="s">
        <v>509</v>
      </c>
      <c r="B210" s="53" t="str">
        <f ca="1">IFERROR(INDEX(UNSPSCDes,MATCH(INDIRECT(ADDRESS(ROW(),COLUMN()-1,4)),UNSPSCCode,0)),IF(INDIRECT(ADDRESS(ROW(),COLUMN()-1,4))="40142002","Mangueras de aire",""))</f>
        <v>Mangueras de aire</v>
      </c>
      <c r="C210" s="65" t="str">
        <f>IFERROR(VLOOKUP("UD",'Informacion '!P:Q,2,FALSE),"")</f>
        <v>Unidad</v>
      </c>
      <c r="D210" s="64">
        <v>1</v>
      </c>
      <c r="E210" s="55">
        <v>800</v>
      </c>
      <c r="F210" s="54">
        <f t="shared" ca="1" si="4"/>
        <v>800</v>
      </c>
    </row>
    <row r="211" spans="1:6" ht="14.1" customHeight="1" x14ac:dyDescent="0.25">
      <c r="A211" s="64" t="s">
        <v>200</v>
      </c>
      <c r="B211" s="53" t="str">
        <f ca="1">IFERROR(INDEX(UNSPSCDes,MATCH(INDIRECT(ADDRESS(ROW(),COLUMN()-1,4)),UNSPSCCode,0)),IF(INDIRECT(ADDRESS(ROW(),COLUMN()-1,4))="70101510","Redes de pesca",""))</f>
        <v>Redes de pesca</v>
      </c>
      <c r="C211" s="65" t="str">
        <f>IFERROR(VLOOKUP("UD",'Informacion '!P:Q,2,FALSE),"")</f>
        <v>Unidad</v>
      </c>
      <c r="D211" s="64">
        <v>7</v>
      </c>
      <c r="E211" s="55">
        <v>100</v>
      </c>
      <c r="F211" s="54">
        <f t="shared" ca="1" si="4"/>
        <v>700</v>
      </c>
    </row>
    <row r="212" spans="1:6" ht="14.1" customHeight="1" x14ac:dyDescent="0.25">
      <c r="A212" s="64" t="s">
        <v>455</v>
      </c>
      <c r="B212" s="53" t="str">
        <f ca="1">IFERROR(INDEX(UNSPSCDes,MATCH(INDIRECT(ADDRESS(ROW(),COLUMN()-1,4)),UNSPSCCode,0)),IF(INDIRECT(ADDRESS(ROW(),COLUMN()-1,4))="30111601","Cemento",""))</f>
        <v>Cemento</v>
      </c>
      <c r="C212" s="65" t="str">
        <f>IFERROR(VLOOKUP("UD",'Informacion '!P:Q,2,FALSE),"")</f>
        <v>Unidad</v>
      </c>
      <c r="D212" s="64">
        <v>6</v>
      </c>
      <c r="E212" s="55">
        <v>600</v>
      </c>
      <c r="F212" s="54">
        <f t="shared" ca="1" si="4"/>
        <v>3600</v>
      </c>
    </row>
    <row r="213" spans="1:6" ht="14.1" customHeight="1" x14ac:dyDescent="0.25">
      <c r="A213" s="64" t="s">
        <v>597</v>
      </c>
      <c r="B213" s="53" t="str">
        <f ca="1">IFERROR(INDEX(UNSPSCDes,MATCH(INDIRECT(ADDRESS(ROW(),COLUMN()-1,4)),UNSPSCCode,0)),IF(INDIRECT(ADDRESS(ROW(),COLUMN()-1,4))="30111607","Cal viva",""))</f>
        <v>Cal viva</v>
      </c>
      <c r="C213" s="65" t="str">
        <f>IFERROR(VLOOKUP("UD",'Informacion '!P:Q,2,FALSE),"")</f>
        <v>Unidad</v>
      </c>
      <c r="D213" s="64">
        <v>5</v>
      </c>
      <c r="E213" s="55">
        <v>100</v>
      </c>
      <c r="F213" s="54">
        <f t="shared" ca="1" si="4"/>
        <v>500</v>
      </c>
    </row>
    <row r="214" spans="1:6" ht="14.1" customHeight="1" x14ac:dyDescent="0.25">
      <c r="A214" s="64" t="s">
        <v>102</v>
      </c>
      <c r="B214" s="53" t="str">
        <f ca="1">IFERROR(INDEX(UNSPSCDes,MATCH(INDIRECT(ADDRESS(ROW(),COLUMN()-1,4)),UNSPSCCode,0)),IF(INDIRECT(ADDRESS(ROW(),COLUMN()-1,4))="11162126","Tela acolchada",""))</f>
        <v>Tela acolchada</v>
      </c>
      <c r="C214" s="65" t="str">
        <f>IFERROR(VLOOKUP("YD",'Informacion '!P:Q,2,FALSE),"")</f>
        <v>Yarda</v>
      </c>
      <c r="D214" s="64">
        <v>25</v>
      </c>
      <c r="E214" s="55">
        <v>100</v>
      </c>
      <c r="F214" s="54">
        <f t="shared" ca="1" si="4"/>
        <v>2500</v>
      </c>
    </row>
    <row r="215" spans="1:6" ht="14.1" customHeight="1" x14ac:dyDescent="0.25">
      <c r="A215" s="64" t="s">
        <v>350</v>
      </c>
      <c r="B215" s="53" t="str">
        <f ca="1">IFERROR(INDEX(UNSPSCDes,MATCH(INDIRECT(ADDRESS(ROW(),COLUMN()-1,4)),UNSPSCCode,0)),IF(INDIRECT(ADDRESS(ROW(),COLUMN()-1,4))="40151513","Bombas sumergibles",""))</f>
        <v>Bombas sumergibles</v>
      </c>
      <c r="C215" s="65" t="str">
        <f>IFERROR(VLOOKUP("UD",'Informacion '!P:Q,2,FALSE),"")</f>
        <v>Unidad</v>
      </c>
      <c r="D215" s="64">
        <v>1</v>
      </c>
      <c r="E215" s="55">
        <v>2600</v>
      </c>
      <c r="F215" s="54">
        <f t="shared" ca="1" si="4"/>
        <v>2600</v>
      </c>
    </row>
    <row r="216" spans="1:6" ht="14.1" customHeight="1" x14ac:dyDescent="0.25">
      <c r="A216" s="64" t="s">
        <v>478</v>
      </c>
      <c r="B216" s="53" t="str">
        <f ca="1">IFERROR(INDEX(UNSPSCDes,MATCH(INDIRECT(ADDRESS(ROW(),COLUMN()-1,4)),UNSPSCCode,0)),IF(INDIRECT(ADDRESS(ROW(),COLUMN()-1,4))="40161502","Filtros de agua",""))</f>
        <v>Filtros de agua</v>
      </c>
      <c r="C216" s="65" t="str">
        <f>IFERROR(VLOOKUP("UD",'Informacion '!P:Q,2,FALSE),"")</f>
        <v>Unidad</v>
      </c>
      <c r="D216" s="64">
        <v>2</v>
      </c>
      <c r="E216" s="55">
        <v>1200</v>
      </c>
      <c r="F216" s="54">
        <f t="shared" ca="1" si="4"/>
        <v>2400</v>
      </c>
    </row>
    <row r="217" spans="1:6" ht="14.1" customHeight="1" x14ac:dyDescent="0.25">
      <c r="A217" s="64" t="s">
        <v>563</v>
      </c>
      <c r="B217" s="53" t="str">
        <f ca="1">IFERROR(INDEX(UNSPSCDes,MATCH(INDIRECT(ADDRESS(ROW(),COLUMN()-1,4)),UNSPSCCode,0)),IF(INDIRECT(ADDRESS(ROW(),COLUMN()-1,4))="11121502","Resina",""))</f>
        <v>Resina</v>
      </c>
      <c r="C217" s="65" t="str">
        <f>IFERROR(VLOOKUP("GAL",'Informacion '!P:Q,2,FALSE),"")</f>
        <v>Galón</v>
      </c>
      <c r="D217" s="64">
        <v>2</v>
      </c>
      <c r="E217" s="55">
        <v>300</v>
      </c>
      <c r="F217" s="54">
        <f t="shared" ca="1" si="4"/>
        <v>600</v>
      </c>
    </row>
    <row r="218" spans="1:6" ht="14.1" customHeight="1" x14ac:dyDescent="0.25">
      <c r="A218" s="64" t="s">
        <v>346</v>
      </c>
      <c r="B218" s="53" t="str">
        <f ca="1">IFERROR(INDEX(UNSPSCDes,MATCH(INDIRECT(ADDRESS(ROW(),COLUMN()-1,4)),UNSPSCCode,0)),IF(INDIRECT(ADDRESS(ROW(),COLUMN()-1,4))="12352310","Siliconas",""))</f>
        <v>Siliconas</v>
      </c>
      <c r="C218" s="65" t="str">
        <f>IFERROR(VLOOKUP("CAJ",'Informacion '!P:Q,2,FALSE),"")</f>
        <v>Caja</v>
      </c>
      <c r="D218" s="64">
        <v>1</v>
      </c>
      <c r="E218" s="55">
        <v>11564</v>
      </c>
      <c r="F218" s="54">
        <f t="shared" ca="1" si="4"/>
        <v>11564</v>
      </c>
    </row>
    <row r="219" spans="1:6" ht="14.1" customHeight="1" x14ac:dyDescent="0.25">
      <c r="A219" s="64" t="s">
        <v>346</v>
      </c>
      <c r="B219" s="53" t="str">
        <f ca="1">IFERROR(INDEX(UNSPSCDes,MATCH(INDIRECT(ADDRESS(ROW(),COLUMN()-1,4)),UNSPSCCode,0)),IF(INDIRECT(ADDRESS(ROW(),COLUMN()-1,4))="12352310","Siliconas",""))</f>
        <v>Siliconas</v>
      </c>
      <c r="C219" s="65" t="str">
        <f>IFERROR(VLOOKUP("CAJ",'Informacion '!P:Q,2,FALSE),"")</f>
        <v>Caja</v>
      </c>
      <c r="D219" s="64">
        <v>1</v>
      </c>
      <c r="E219" s="55">
        <v>11564</v>
      </c>
      <c r="F219" s="54">
        <f t="shared" ca="1" si="4"/>
        <v>11564</v>
      </c>
    </row>
    <row r="220" spans="1:6" ht="14.1" customHeight="1" x14ac:dyDescent="0.25">
      <c r="A220" s="64" t="s">
        <v>790</v>
      </c>
      <c r="B220" s="53" t="str">
        <f ca="1">IFERROR(INDEX(UNSPSCDes,MATCH(INDIRECT(ADDRESS(ROW(),COLUMN()-1,4)),UNSPSCCode,0)),IF(INDIRECT(ADDRESS(ROW(),COLUMN()-1,4))="31201511","Cinta de malla metálica",""))</f>
        <v>Cinta de malla metálica</v>
      </c>
      <c r="C220" s="65" t="str">
        <f>IFERROR(VLOOKUP("UD",'Informacion '!P:Q,2,FALSE),"")</f>
        <v>Unidad</v>
      </c>
      <c r="D220" s="64">
        <v>1</v>
      </c>
      <c r="E220" s="55">
        <v>500</v>
      </c>
      <c r="F220" s="54">
        <f t="shared" ca="1" si="4"/>
        <v>500</v>
      </c>
    </row>
    <row r="221" spans="1:6" ht="14.1" customHeight="1" x14ac:dyDescent="0.25">
      <c r="A221" s="64" t="s">
        <v>472</v>
      </c>
      <c r="B221" s="53" t="str">
        <f ca="1">IFERROR(INDEX(UNSPSCDes,MATCH(INDIRECT(ADDRESS(ROW(),COLUMN()-1,4)),UNSPSCCode,0)),IF(INDIRECT(ADDRESS(ROW(),COLUMN()-1,4))="23153401","Sistemas de aplicación de pegante o adhesivo",""))</f>
        <v>Sistemas de aplicación de pegante o adhesivo</v>
      </c>
      <c r="C221" s="65" t="str">
        <f>IFERROR(VLOOKUP("GAL",'Informacion '!P:Q,2,FALSE),"")</f>
        <v>Galón</v>
      </c>
      <c r="D221" s="64">
        <v>1</v>
      </c>
      <c r="E221" s="55">
        <v>950</v>
      </c>
      <c r="F221" s="54">
        <f t="shared" ca="1" si="4"/>
        <v>950</v>
      </c>
    </row>
    <row r="222" spans="1:6" ht="14.1" customHeight="1" x14ac:dyDescent="0.25">
      <c r="A222" s="64" t="s">
        <v>377</v>
      </c>
      <c r="B222" s="53" t="str">
        <f ca="1">IFERROR(INDEX(UNSPSCDes,MATCH(INDIRECT(ADDRESS(ROW(),COLUMN()-1,4)),UNSPSCCode,0)),IF(INDIRECT(ADDRESS(ROW(),COLUMN()-1,4))="46182001","Máscaras o accesorios",""))</f>
        <v>Máscaras o accesorios</v>
      </c>
      <c r="C222" s="65" t="str">
        <f>IFERROR(VLOOKUP("UD",'Informacion '!P:Q,2,FALSE),"")</f>
        <v>Unidad</v>
      </c>
      <c r="D222" s="64">
        <v>1</v>
      </c>
      <c r="E222" s="55">
        <v>200</v>
      </c>
      <c r="F222" s="54">
        <f t="shared" ca="1" si="4"/>
        <v>200</v>
      </c>
    </row>
    <row r="223" spans="1:6" ht="14.1" customHeight="1" x14ac:dyDescent="0.25">
      <c r="A223" s="64" t="s">
        <v>58</v>
      </c>
      <c r="B223" s="53" t="str">
        <f ca="1">IFERROR(INDEX(UNSPSCDes,MATCH(INDIRECT(ADDRESS(ROW(),COLUMN()-1,4)),UNSPSCCode,0)),IF(INDIRECT(ADDRESS(ROW(),COLUMN()-1,4))="40151501","Bombas de aire",""))</f>
        <v>Bombas de aire</v>
      </c>
      <c r="C223" s="65" t="str">
        <f>IFERROR(VLOOKUP("UD",'Informacion '!P:Q,2,FALSE),"")</f>
        <v>Unidad</v>
      </c>
      <c r="D223" s="64">
        <v>1</v>
      </c>
      <c r="E223" s="55">
        <v>1100</v>
      </c>
      <c r="F223" s="54">
        <f t="shared" ca="1" si="4"/>
        <v>1100</v>
      </c>
    </row>
    <row r="224" spans="1:6" ht="14.1" customHeight="1" x14ac:dyDescent="0.25">
      <c r="A224" s="64" t="s">
        <v>771</v>
      </c>
      <c r="B224" s="53" t="str">
        <f ca="1">IFERROR(INDEX(UNSPSCDes,MATCH(INDIRECT(ADDRESS(ROW(),COLUMN()-1,4)),UNSPSCCode,0)),IF(INDIRECT(ADDRESS(ROW(),COLUMN()-1,4))="40101505","Difusores de aire",""))</f>
        <v>Difusores de aire</v>
      </c>
      <c r="C224" s="65" t="str">
        <f>IFERROR(VLOOKUP("UD",'Informacion '!P:Q,2,FALSE),"")</f>
        <v>Unidad</v>
      </c>
      <c r="D224" s="64">
        <v>2</v>
      </c>
      <c r="E224" s="55">
        <v>35</v>
      </c>
      <c r="F224" s="54">
        <f t="shared" ca="1" si="4"/>
        <v>70</v>
      </c>
    </row>
    <row r="225" spans="1:6" ht="14.1" customHeight="1" x14ac:dyDescent="0.25">
      <c r="A225" s="64" t="s">
        <v>771</v>
      </c>
      <c r="B225" s="53" t="str">
        <f ca="1">IFERROR(INDEX(UNSPSCDes,MATCH(INDIRECT(ADDRESS(ROW(),COLUMN()-1,4)),UNSPSCCode,0)),IF(INDIRECT(ADDRESS(ROW(),COLUMN()-1,4))="40101505","Difusores de aire",""))</f>
        <v>Difusores de aire</v>
      </c>
      <c r="C225" s="65" t="str">
        <f>IFERROR(VLOOKUP("UD",'Informacion '!P:Q,2,FALSE),"")</f>
        <v>Unidad</v>
      </c>
      <c r="D225" s="64">
        <v>2</v>
      </c>
      <c r="E225" s="55">
        <v>45</v>
      </c>
      <c r="F225" s="54">
        <f t="shared" ca="1" si="4"/>
        <v>90</v>
      </c>
    </row>
    <row r="226" spans="1:6" ht="14.1" customHeight="1" x14ac:dyDescent="0.25">
      <c r="A226" s="64" t="s">
        <v>307</v>
      </c>
      <c r="B226" s="53" t="str">
        <f ca="1">IFERROR(INDEX(UNSPSCDes,MATCH(INDIRECT(ADDRESS(ROW(),COLUMN()-1,4)),UNSPSCCode,0)),IF(INDIRECT(ADDRESS(ROW(),COLUMN()-1,4))="42271705","Conectores o adaptadores de suministro de oxígeno",""))</f>
        <v>Conectores o adaptadores de suministro de oxígeno</v>
      </c>
      <c r="C226" s="65" t="str">
        <f>IFERROR(VLOOKUP("UD",'Informacion '!P:Q,2,FALSE),"")</f>
        <v>Unidad</v>
      </c>
      <c r="D226" s="64">
        <v>10</v>
      </c>
      <c r="E226" s="55">
        <v>50</v>
      </c>
      <c r="F226" s="54">
        <f t="shared" ca="1" si="4"/>
        <v>500</v>
      </c>
    </row>
    <row r="227" spans="1:6" ht="14.1" customHeight="1" x14ac:dyDescent="0.25">
      <c r="A227" s="64" t="s">
        <v>78</v>
      </c>
      <c r="B227" s="53" t="str">
        <f ca="1">IFERROR(INDEX(UNSPSCDes,MATCH(INDIRECT(ADDRESS(ROW(),COLUMN()-1,4)),UNSPSCCode,0)),IF(INDIRECT(ADDRESS(ROW(),COLUMN()-1,4))="25101602","Remolques",""))</f>
        <v>Remolques</v>
      </c>
      <c r="C227" s="65" t="str">
        <f>IFERROR(VLOOKUP("UD",'Informacion '!P:Q,2,FALSE),"")</f>
        <v>Unidad</v>
      </c>
      <c r="D227" s="64">
        <v>4</v>
      </c>
      <c r="E227" s="55">
        <v>300</v>
      </c>
      <c r="F227" s="54">
        <f t="shared" ca="1" si="4"/>
        <v>1200</v>
      </c>
    </row>
    <row r="228" spans="1:6" ht="14.1" customHeight="1" x14ac:dyDescent="0.25">
      <c r="A228" s="64" t="s">
        <v>177</v>
      </c>
      <c r="B228" s="53" t="str">
        <f ca="1">IFERROR(INDEX(UNSPSCDes,MATCH(INDIRECT(ADDRESS(ROW(),COLUMN()-1,4)),UNSPSCCode,0)),IF(INDIRECT(ADDRESS(ROW(),COLUMN()-1,4))="46171505","Llaves",""))</f>
        <v>Llaves</v>
      </c>
      <c r="C228" s="65" t="str">
        <f>IFERROR(VLOOKUP("UD",'Informacion '!P:Q,2,FALSE),"")</f>
        <v>Unidad</v>
      </c>
      <c r="D228" s="64">
        <v>5</v>
      </c>
      <c r="E228" s="55">
        <v>300</v>
      </c>
      <c r="F228" s="54">
        <f t="shared" ca="1" si="4"/>
        <v>1500</v>
      </c>
    </row>
    <row r="229" spans="1:6" ht="14.1" customHeight="1" x14ac:dyDescent="0.25">
      <c r="A229" s="64" t="s">
        <v>455</v>
      </c>
      <c r="B229" s="53" t="str">
        <f ca="1">IFERROR(INDEX(UNSPSCDes,MATCH(INDIRECT(ADDRESS(ROW(),COLUMN()-1,4)),UNSPSCCode,0)),IF(INDIRECT(ADDRESS(ROW(),COLUMN()-1,4))="30111601","Cemento",""))</f>
        <v>Cemento</v>
      </c>
      <c r="C229" s="65" t="str">
        <f>IFERROR(VLOOKUP("UD",'Informacion '!P:Q,2,FALSE),"")</f>
        <v>Unidad</v>
      </c>
      <c r="D229" s="64">
        <v>2</v>
      </c>
      <c r="E229" s="55">
        <v>480</v>
      </c>
      <c r="F229" s="54">
        <f t="shared" ca="1" si="4"/>
        <v>960</v>
      </c>
    </row>
    <row r="230" spans="1:6" ht="14.1" customHeight="1" x14ac:dyDescent="0.25">
      <c r="A230" s="64" t="s">
        <v>398</v>
      </c>
      <c r="B230" s="53" t="str">
        <f ca="1">IFERROR(INDEX(UNSPSCDes,MATCH(INDIRECT(ADDRESS(ROW(),COLUMN()-1,4)),UNSPSCCode,0)),IF(INDIRECT(ADDRESS(ROW(),COLUMN()-1,4))="31201523","Cinta de tela",""))</f>
        <v>Cinta de tela</v>
      </c>
      <c r="C230" s="65" t="str">
        <f>IFERROR(VLOOKUP("UD",'Informacion '!P:Q,2,FALSE),"")</f>
        <v>Unidad</v>
      </c>
      <c r="D230" s="64">
        <v>1</v>
      </c>
      <c r="E230" s="55">
        <v>300</v>
      </c>
      <c r="F230" s="54">
        <f t="shared" ca="1" si="4"/>
        <v>300</v>
      </c>
    </row>
    <row r="231" spans="1:6" ht="14.1" customHeight="1" x14ac:dyDescent="0.25">
      <c r="A231" s="64" t="s">
        <v>360</v>
      </c>
      <c r="B231" s="53" t="str">
        <f ca="1">IFERROR(INDEX(UNSPSCDes,MATCH(INDIRECT(ADDRESS(ROW(),COLUMN()-1,4)),UNSPSCCode,0)),IF(INDIRECT(ADDRESS(ROW(),COLUMN()-1,4))="24101611","Eslingas",""))</f>
        <v>Eslingas</v>
      </c>
      <c r="C231" s="65" t="str">
        <f>IFERROR(VLOOKUP("UD",'Informacion '!P:Q,2,FALSE),"")</f>
        <v>Unidad</v>
      </c>
      <c r="D231" s="64">
        <v>1</v>
      </c>
      <c r="E231" s="55">
        <v>5380</v>
      </c>
      <c r="F231" s="54">
        <f t="shared" ca="1" si="4"/>
        <v>5380</v>
      </c>
    </row>
    <row r="232" spans="1:6" ht="14.1" customHeight="1" x14ac:dyDescent="0.25">
      <c r="A232" s="64" t="s">
        <v>360</v>
      </c>
      <c r="B232" s="53" t="str">
        <f ca="1">IFERROR(INDEX(UNSPSCDes,MATCH(INDIRECT(ADDRESS(ROW(),COLUMN()-1,4)),UNSPSCCode,0)),IF(INDIRECT(ADDRESS(ROW(),COLUMN()-1,4))="24101611","Eslingas",""))</f>
        <v>Eslingas</v>
      </c>
      <c r="C232" s="65" t="str">
        <f>IFERROR(VLOOKUP("UD",'Informacion '!P:Q,2,FALSE),"")</f>
        <v>Unidad</v>
      </c>
      <c r="D232" s="64">
        <v>2</v>
      </c>
      <c r="E232" s="55">
        <v>4130</v>
      </c>
      <c r="F232" s="54">
        <f t="shared" ca="1" si="4"/>
        <v>8260</v>
      </c>
    </row>
    <row r="233" spans="1:6" ht="14.1" customHeight="1" x14ac:dyDescent="0.25">
      <c r="A233" s="64" t="s">
        <v>271</v>
      </c>
      <c r="B233" s="53" t="str">
        <f ca="1">IFERROR(INDEX(UNSPSCDes,MATCH(INDIRECT(ADDRESS(ROW(),COLUMN()-1,4)),UNSPSCCode,0)),IF(INDIRECT(ADDRESS(ROW(),COLUMN()-1,4))="25111903","Velas",""))</f>
        <v>Velas</v>
      </c>
      <c r="C233" s="65" t="str">
        <f>IFERROR(VLOOKUP("UD",'Informacion '!P:Q,2,FALSE),"")</f>
        <v>Unidad</v>
      </c>
      <c r="D233" s="64">
        <v>1</v>
      </c>
      <c r="E233" s="55">
        <v>2000</v>
      </c>
      <c r="F233" s="54">
        <f t="shared" ca="1" si="4"/>
        <v>2000</v>
      </c>
    </row>
    <row r="234" spans="1:6" ht="14.1" customHeight="1" x14ac:dyDescent="0.25">
      <c r="A234" s="64" t="s">
        <v>123</v>
      </c>
      <c r="B234" s="53" t="str">
        <f ca="1">IFERROR(INDEX(UNSPSCDes,MATCH(INDIRECT(ADDRESS(ROW(),COLUMN()-1,4)),UNSPSCCode,0)),IF(INDIRECT(ADDRESS(ROW(),COLUMN()-1,4))="31162403","Goznes o bisagras",""))</f>
        <v>Goznes o bisagras</v>
      </c>
      <c r="C234" s="65" t="str">
        <f>IFERROR(VLOOKUP("UD",'Informacion '!P:Q,2,FALSE),"")</f>
        <v>Unidad</v>
      </c>
      <c r="D234" s="64">
        <v>5</v>
      </c>
      <c r="E234" s="55">
        <v>100</v>
      </c>
      <c r="F234" s="54">
        <f t="shared" ca="1" si="4"/>
        <v>500</v>
      </c>
    </row>
    <row r="235" spans="1:6" ht="14.1" customHeight="1" x14ac:dyDescent="0.25">
      <c r="A235" s="64" t="s">
        <v>625</v>
      </c>
      <c r="B235" s="53" t="str">
        <f ca="1">IFERROR(INDEX(UNSPSCDes,MATCH(INDIRECT(ADDRESS(ROW(),COLUMN()-1,4)),UNSPSCCode,0)),IF(INDIRECT(ADDRESS(ROW(),COLUMN()-1,4))="40142612","Adaptadores de tubo",""))</f>
        <v>Adaptadores de tubo</v>
      </c>
      <c r="C235" s="65" t="str">
        <f>IFERROR(VLOOKUP("UD",'Informacion '!P:Q,2,FALSE),"")</f>
        <v>Unidad</v>
      </c>
      <c r="D235" s="64">
        <v>3</v>
      </c>
      <c r="E235" s="55">
        <v>30</v>
      </c>
      <c r="F235" s="54">
        <f t="shared" ca="1" si="4"/>
        <v>90</v>
      </c>
    </row>
    <row r="236" spans="1:6" ht="14.1" customHeight="1" x14ac:dyDescent="0.25">
      <c r="A236" s="64" t="s">
        <v>386</v>
      </c>
      <c r="B236" s="53" t="str">
        <f ca="1">IFERROR(INDEX(UNSPSCDes,MATCH(INDIRECT(ADDRESS(ROW(),COLUMN()-1,4)),UNSPSCCode,0)),IF(INDIRECT(ADDRESS(ROW(),COLUMN()-1,4))="42272012","Tubos o tuberías de succión",""))</f>
        <v>Tubos o tuberías de succión</v>
      </c>
      <c r="C236" s="65" t="str">
        <f>IFERROR(VLOOKUP("UD",'Informacion '!P:Q,2,FALSE),"")</f>
        <v>Unidad</v>
      </c>
      <c r="D236" s="64">
        <v>10</v>
      </c>
      <c r="E236" s="55">
        <v>5</v>
      </c>
      <c r="F236" s="54">
        <f t="shared" ca="1" si="4"/>
        <v>50</v>
      </c>
    </row>
    <row r="237" spans="1:6" ht="14.1" customHeight="1" x14ac:dyDescent="0.25">
      <c r="A237" s="64" t="s">
        <v>386</v>
      </c>
      <c r="B237" s="53" t="str">
        <f ca="1">IFERROR(INDEX(UNSPSCDes,MATCH(INDIRECT(ADDRESS(ROW(),COLUMN()-1,4)),UNSPSCCode,0)),IF(INDIRECT(ADDRESS(ROW(),COLUMN()-1,4))="42272012","Tubos o tuberías de succión",""))</f>
        <v>Tubos o tuberías de succión</v>
      </c>
      <c r="C237" s="65" t="str">
        <f>IFERROR(VLOOKUP("UD",'Informacion '!P:Q,2,FALSE),"")</f>
        <v>Unidad</v>
      </c>
      <c r="D237" s="64">
        <v>10</v>
      </c>
      <c r="E237" s="55">
        <v>5</v>
      </c>
      <c r="F237" s="54">
        <f t="shared" ca="1" si="4"/>
        <v>50</v>
      </c>
    </row>
    <row r="238" spans="1:6" ht="14.1" customHeight="1" x14ac:dyDescent="0.25">
      <c r="A238" s="64" t="s">
        <v>386</v>
      </c>
      <c r="B238" s="53" t="str">
        <f ca="1">IFERROR(INDEX(UNSPSCDes,MATCH(INDIRECT(ADDRESS(ROW(),COLUMN()-1,4)),UNSPSCCode,0)),IF(INDIRECT(ADDRESS(ROW(),COLUMN()-1,4))="42272012","Tubos o tuberías de succión",""))</f>
        <v>Tubos o tuberías de succión</v>
      </c>
      <c r="C238" s="65" t="str">
        <f>IFERROR(VLOOKUP("UD",'Informacion '!P:Q,2,FALSE),"")</f>
        <v>Unidad</v>
      </c>
      <c r="D238" s="64">
        <v>10</v>
      </c>
      <c r="E238" s="55">
        <v>5</v>
      </c>
      <c r="F238" s="54">
        <f t="shared" ref="F238:F269" ca="1" si="5">INDIRECT(ADDRESS(ROW(),COLUMN()-2,4))*INDIRECT(ADDRESS(ROW(),COLUMN()-1,4))</f>
        <v>50</v>
      </c>
    </row>
    <row r="239" spans="1:6" ht="14.1" customHeight="1" x14ac:dyDescent="0.25">
      <c r="A239" s="64" t="s">
        <v>488</v>
      </c>
      <c r="B239" s="53" t="str">
        <f ca="1">IFERROR(INDEX(UNSPSCDes,MATCH(INDIRECT(ADDRESS(ROW(),COLUMN()-1,4)),UNSPSCCode,0)),IF(INDIRECT(ADDRESS(ROW(),COLUMN()-1,4))="27111708","Llaves para tubos",""))</f>
        <v>Llaves para tubos</v>
      </c>
      <c r="C239" s="65" t="str">
        <f>IFERROR(VLOOKUP("UD",'Informacion '!P:Q,2,FALSE),"")</f>
        <v>Unidad</v>
      </c>
      <c r="D239" s="64">
        <v>6</v>
      </c>
      <c r="E239" s="55">
        <v>240</v>
      </c>
      <c r="F239" s="54">
        <f t="shared" ca="1" si="5"/>
        <v>1440</v>
      </c>
    </row>
    <row r="240" spans="1:6" ht="14.1" customHeight="1" x14ac:dyDescent="0.25">
      <c r="A240" s="64" t="s">
        <v>488</v>
      </c>
      <c r="B240" s="53" t="str">
        <f ca="1">IFERROR(INDEX(UNSPSCDes,MATCH(INDIRECT(ADDRESS(ROW(),COLUMN()-1,4)),UNSPSCCode,0)),IF(INDIRECT(ADDRESS(ROW(),COLUMN()-1,4))="27111708","Llaves para tubos",""))</f>
        <v>Llaves para tubos</v>
      </c>
      <c r="C240" s="65" t="str">
        <f>IFERROR(VLOOKUP("UD",'Informacion '!P:Q,2,FALSE),"")</f>
        <v>Unidad</v>
      </c>
      <c r="D240" s="64">
        <v>6</v>
      </c>
      <c r="E240" s="55">
        <v>300</v>
      </c>
      <c r="F240" s="54">
        <f t="shared" ca="1" si="5"/>
        <v>1800</v>
      </c>
    </row>
    <row r="241" spans="1:6" ht="14.1" customHeight="1" x14ac:dyDescent="0.25">
      <c r="A241" s="64" t="s">
        <v>488</v>
      </c>
      <c r="B241" s="53" t="str">
        <f ca="1">IFERROR(INDEX(UNSPSCDes,MATCH(INDIRECT(ADDRESS(ROW(),COLUMN()-1,4)),UNSPSCCode,0)),IF(INDIRECT(ADDRESS(ROW(),COLUMN()-1,4))="27111708","Llaves para tubos",""))</f>
        <v>Llaves para tubos</v>
      </c>
      <c r="C241" s="65" t="str">
        <f>IFERROR(VLOOKUP("UD",'Informacion '!P:Q,2,FALSE),"")</f>
        <v>Unidad</v>
      </c>
      <c r="D241" s="64">
        <v>6</v>
      </c>
      <c r="E241" s="55">
        <v>320</v>
      </c>
      <c r="F241" s="54">
        <f t="shared" ca="1" si="5"/>
        <v>1920</v>
      </c>
    </row>
    <row r="242" spans="1:6" ht="14.1" customHeight="1" x14ac:dyDescent="0.25">
      <c r="A242" s="64" t="s">
        <v>346</v>
      </c>
      <c r="B242" s="53" t="str">
        <f ca="1">IFERROR(INDEX(UNSPSCDes,MATCH(INDIRECT(ADDRESS(ROW(),COLUMN()-1,4)),UNSPSCCode,0)),IF(INDIRECT(ADDRESS(ROW(),COLUMN()-1,4))="12352310","Siliconas",""))</f>
        <v>Siliconas</v>
      </c>
      <c r="C242" s="65" t="str">
        <f>IFERROR(VLOOKUP("UD",'Informacion '!P:Q,2,FALSE),"")</f>
        <v>Unidad</v>
      </c>
      <c r="D242" s="64">
        <v>2</v>
      </c>
      <c r="E242" s="55">
        <v>300</v>
      </c>
      <c r="F242" s="54">
        <f t="shared" ca="1" si="5"/>
        <v>600</v>
      </c>
    </row>
    <row r="243" spans="1:6" ht="14.1" customHeight="1" x14ac:dyDescent="0.25">
      <c r="A243" s="64" t="s">
        <v>346</v>
      </c>
      <c r="B243" s="53" t="str">
        <f ca="1">IFERROR(INDEX(UNSPSCDes,MATCH(INDIRECT(ADDRESS(ROW(),COLUMN()-1,4)),UNSPSCCode,0)),IF(INDIRECT(ADDRESS(ROW(),COLUMN()-1,4))="12352310","Siliconas",""))</f>
        <v>Siliconas</v>
      </c>
      <c r="C243" s="65" t="str">
        <f>IFERROR(VLOOKUP("UD",'Informacion '!P:Q,2,FALSE),"")</f>
        <v>Unidad</v>
      </c>
      <c r="D243" s="64">
        <v>2</v>
      </c>
      <c r="E243" s="55">
        <v>170</v>
      </c>
      <c r="F243" s="54">
        <f t="shared" ca="1" si="5"/>
        <v>340</v>
      </c>
    </row>
    <row r="244" spans="1:6" ht="14.1" customHeight="1" x14ac:dyDescent="0.25">
      <c r="A244" s="64" t="s">
        <v>517</v>
      </c>
      <c r="B244" s="53" t="str">
        <f ca="1">IFERROR(INDEX(UNSPSCDes,MATCH(INDIRECT(ADDRESS(ROW(),COLUMN()-1,4)),UNSPSCCode,0)),IF(INDIRECT(ADDRESS(ROW(),COLUMN()-1,4))="49211805","Cuerdas",""))</f>
        <v>Cuerdas</v>
      </c>
      <c r="C244" s="65" t="str">
        <f>IFERROR(VLOOKUP("FT",'Informacion '!P:Q,2,FALSE),"")</f>
        <v>Pie</v>
      </c>
      <c r="D244" s="64">
        <v>50</v>
      </c>
      <c r="E244" s="55">
        <v>130</v>
      </c>
      <c r="F244" s="54">
        <f t="shared" ca="1" si="5"/>
        <v>6500</v>
      </c>
    </row>
    <row r="245" spans="1:6" ht="14.1" customHeight="1" x14ac:dyDescent="0.25">
      <c r="A245" s="64" t="s">
        <v>802</v>
      </c>
      <c r="B245" s="53" t="str">
        <f ca="1">IFERROR(INDEX(UNSPSCDes,MATCH(INDIRECT(ADDRESS(ROW(),COLUMN()-1,4)),UNSPSCCode,0)),IF(INDIRECT(ADDRESS(ROW(),COLUMN()-1,4))="27111801","Cintas métricas",""))</f>
        <v>Cintas métricas</v>
      </c>
      <c r="C245" s="65" t="str">
        <f>IFERROR(VLOOKUP("UD",'Informacion '!P:Q,2,FALSE),"")</f>
        <v>Unidad</v>
      </c>
      <c r="D245" s="64">
        <v>1</v>
      </c>
      <c r="E245" s="55">
        <v>330</v>
      </c>
      <c r="F245" s="54">
        <f t="shared" ca="1" si="5"/>
        <v>330</v>
      </c>
    </row>
    <row r="246" spans="1:6" ht="14.1" customHeight="1" x14ac:dyDescent="0.25">
      <c r="A246" s="64" t="s">
        <v>484</v>
      </c>
      <c r="B246" s="53" t="str">
        <f ca="1">IFERROR(INDEX(UNSPSCDes,MATCH(INDIRECT(ADDRESS(ROW(),COLUMN()-1,4)),UNSPSCCode,0)),IF(INDIRECT(ADDRESS(ROW(),COLUMN()-1,4))="41111621","Calibradores",""))</f>
        <v>Calibradores</v>
      </c>
      <c r="C246" s="65" t="str">
        <f>IFERROR(VLOOKUP("UD",'Informacion '!P:Q,2,FALSE),"")</f>
        <v>Unidad</v>
      </c>
      <c r="D246" s="64">
        <v>1</v>
      </c>
      <c r="E246" s="55">
        <v>555</v>
      </c>
      <c r="F246" s="54">
        <f t="shared" ca="1" si="5"/>
        <v>555</v>
      </c>
    </row>
    <row r="247" spans="1:6" ht="14.1" customHeight="1" x14ac:dyDescent="0.25">
      <c r="A247" s="64" t="s">
        <v>88</v>
      </c>
      <c r="B247" s="53" t="str">
        <f ca="1">IFERROR(INDEX(UNSPSCDes,MATCH(INDIRECT(ADDRESS(ROW(),COLUMN()-1,4)),UNSPSCCode,0)),IF(INDIRECT(ADDRESS(ROW(),COLUMN()-1,4))="27112114","Pinzas de corte diagonal",""))</f>
        <v>Pinzas de corte diagonal</v>
      </c>
      <c r="C247" s="65" t="str">
        <f>IFERROR(VLOOKUP("UD",'Informacion '!P:Q,2,FALSE),"")</f>
        <v>Unidad</v>
      </c>
      <c r="D247" s="64">
        <v>2</v>
      </c>
      <c r="E247" s="55">
        <v>300</v>
      </c>
      <c r="F247" s="54">
        <f t="shared" ca="1" si="5"/>
        <v>600</v>
      </c>
    </row>
    <row r="248" spans="1:6" ht="14.1" customHeight="1" x14ac:dyDescent="0.25">
      <c r="A248" s="64" t="s">
        <v>651</v>
      </c>
      <c r="B248" s="53" t="str">
        <f ca="1">IFERROR(INDEX(UNSPSCDes,MATCH(INDIRECT(ADDRESS(ROW(),COLUMN()-1,4)),UNSPSCCode,0)),IF(INDIRECT(ADDRESS(ROW(),COLUMN()-1,4))="27112132","Abrazaderas de fijación",""))</f>
        <v>Abrazaderas de fijación</v>
      </c>
      <c r="C248" s="65" t="str">
        <f>IFERROR(VLOOKUP("UD",'Informacion '!P:Q,2,FALSE),"")</f>
        <v>Unidad</v>
      </c>
      <c r="D248" s="64">
        <v>150</v>
      </c>
      <c r="E248" s="55">
        <v>6</v>
      </c>
      <c r="F248" s="54">
        <f t="shared" ca="1" si="5"/>
        <v>900</v>
      </c>
    </row>
    <row r="249" spans="1:6" ht="14.1" customHeight="1" x14ac:dyDescent="0.25">
      <c r="A249" s="64" t="s">
        <v>200</v>
      </c>
      <c r="B249" s="53" t="str">
        <f ca="1">IFERROR(INDEX(UNSPSCDes,MATCH(INDIRECT(ADDRESS(ROW(),COLUMN()-1,4)),UNSPSCCode,0)),IF(INDIRECT(ADDRESS(ROW(),COLUMN()-1,4))="70101510","Redes de pesca",""))</f>
        <v>Redes de pesca</v>
      </c>
      <c r="C249" s="65" t="str">
        <f>IFERROR(VLOOKUP("UD",'Informacion '!P:Q,2,FALSE),"")</f>
        <v>Unidad</v>
      </c>
      <c r="D249" s="64">
        <v>1</v>
      </c>
      <c r="E249" s="55">
        <v>150</v>
      </c>
      <c r="F249" s="54">
        <f t="shared" ca="1" si="5"/>
        <v>150</v>
      </c>
    </row>
    <row r="250" spans="1:6" ht="14.1" customHeight="1" x14ac:dyDescent="0.25">
      <c r="A250" s="64" t="s">
        <v>200</v>
      </c>
      <c r="B250" s="53" t="str">
        <f ca="1">IFERROR(INDEX(UNSPSCDes,MATCH(INDIRECT(ADDRESS(ROW(),COLUMN()-1,4)),UNSPSCCode,0)),IF(INDIRECT(ADDRESS(ROW(),COLUMN()-1,4))="70101510","Redes de pesca",""))</f>
        <v>Redes de pesca</v>
      </c>
      <c r="C250" s="65" t="str">
        <f>IFERROR(VLOOKUP("UD",'Informacion '!P:Q,2,FALSE),"")</f>
        <v>Unidad</v>
      </c>
      <c r="D250" s="64">
        <v>1</v>
      </c>
      <c r="E250" s="55">
        <v>70</v>
      </c>
      <c r="F250" s="54">
        <f t="shared" ca="1" si="5"/>
        <v>70</v>
      </c>
    </row>
    <row r="251" spans="1:6" ht="14.1" customHeight="1" x14ac:dyDescent="0.25">
      <c r="A251" s="64" t="s">
        <v>539</v>
      </c>
      <c r="B251" s="53" t="str">
        <f ca="1">IFERROR(INDEX(UNSPSCDes,MATCH(INDIRECT(ADDRESS(ROW(),COLUMN()-1,4)),UNSPSCCode,0)),IF(INDIRECT(ADDRESS(ROW(),COLUMN()-1,4))="30181504","Lavamanos",""))</f>
        <v>Lavamanos</v>
      </c>
      <c r="C251" s="65" t="str">
        <f>IFERROR(VLOOKUP("UD",'Informacion '!P:Q,2,FALSE),"")</f>
        <v>Unidad</v>
      </c>
      <c r="D251" s="64">
        <v>2</v>
      </c>
      <c r="E251" s="55">
        <v>1600</v>
      </c>
      <c r="F251" s="54">
        <f t="shared" ca="1" si="5"/>
        <v>3200</v>
      </c>
    </row>
    <row r="252" spans="1:6" ht="14.1" customHeight="1" x14ac:dyDescent="0.25">
      <c r="A252" s="64" t="s">
        <v>505</v>
      </c>
      <c r="B252" s="53" t="str">
        <f ca="1">IFERROR(INDEX(UNSPSCDes,MATCH(INDIRECT(ADDRESS(ROW(),COLUMN()-1,4)),UNSPSCCode,0)),IF(INDIRECT(ADDRESS(ROW(),COLUMN()-1,4))="52151650","Escurridores para uso doméstico",""))</f>
        <v>Escurridores para uso doméstico</v>
      </c>
      <c r="C252" s="65" t="str">
        <f>IFERROR(VLOOKUP("UD",'Informacion '!P:Q,2,FALSE),"")</f>
        <v>Unidad</v>
      </c>
      <c r="D252" s="64">
        <v>1</v>
      </c>
      <c r="E252" s="55">
        <v>2800</v>
      </c>
      <c r="F252" s="54">
        <f t="shared" ca="1" si="5"/>
        <v>2800</v>
      </c>
    </row>
    <row r="253" spans="1:6" ht="14.1" customHeight="1" x14ac:dyDescent="0.25">
      <c r="A253" s="64" t="s">
        <v>488</v>
      </c>
      <c r="B253" s="53" t="str">
        <f ca="1">IFERROR(INDEX(UNSPSCDes,MATCH(INDIRECT(ADDRESS(ROW(),COLUMN()-1,4)),UNSPSCCode,0)),IF(INDIRECT(ADDRESS(ROW(),COLUMN()-1,4))="27111708","Llaves para tubos",""))</f>
        <v>Llaves para tubos</v>
      </c>
      <c r="C253" s="65" t="str">
        <f>IFERROR(VLOOKUP("UD",'Informacion '!P:Q,2,FALSE),"")</f>
        <v>Unidad</v>
      </c>
      <c r="D253" s="64">
        <v>2</v>
      </c>
      <c r="E253" s="55">
        <v>185</v>
      </c>
      <c r="F253" s="54">
        <f t="shared" ca="1" si="5"/>
        <v>370</v>
      </c>
    </row>
    <row r="254" spans="1:6" ht="14.1" customHeight="1" x14ac:dyDescent="0.25">
      <c r="A254" s="64" t="s">
        <v>488</v>
      </c>
      <c r="B254" s="53" t="str">
        <f ca="1">IFERROR(INDEX(UNSPSCDes,MATCH(INDIRECT(ADDRESS(ROW(),COLUMN()-1,4)),UNSPSCCode,0)),IF(INDIRECT(ADDRESS(ROW(),COLUMN()-1,4))="27111708","Llaves para tubos",""))</f>
        <v>Llaves para tubos</v>
      </c>
      <c r="C254" s="65" t="str">
        <f>IFERROR(VLOOKUP("UD",'Informacion '!P:Q,2,FALSE),"")</f>
        <v>Unidad</v>
      </c>
      <c r="D254" s="64">
        <v>2</v>
      </c>
      <c r="E254" s="55">
        <v>210</v>
      </c>
      <c r="F254" s="54">
        <f t="shared" ca="1" si="5"/>
        <v>420</v>
      </c>
    </row>
    <row r="255" spans="1:6" ht="14.1" customHeight="1" x14ac:dyDescent="0.25">
      <c r="A255" s="64" t="s">
        <v>451</v>
      </c>
      <c r="B255" s="53" t="str">
        <f ca="1">IFERROR(INDEX(UNSPSCDes,MATCH(INDIRECT(ADDRESS(ROW(),COLUMN()-1,4)),UNSPSCCode,0)),IF(INDIRECT(ADDRESS(ROW(),COLUMN()-1,4))="40142008","Mangueras de agua",""))</f>
        <v>Mangueras de agua</v>
      </c>
      <c r="C255" s="65" t="str">
        <f>IFERROR(VLOOKUP("UD",'Informacion '!P:Q,2,FALSE),"")</f>
        <v>Unidad</v>
      </c>
      <c r="D255" s="64">
        <v>5</v>
      </c>
      <c r="E255" s="55">
        <v>120</v>
      </c>
      <c r="F255" s="54">
        <f t="shared" ca="1" si="5"/>
        <v>600</v>
      </c>
    </row>
    <row r="256" spans="1:6" ht="14.1" customHeight="1" x14ac:dyDescent="0.25">
      <c r="A256" s="64" t="s">
        <v>451</v>
      </c>
      <c r="B256" s="53" t="str">
        <f ca="1">IFERROR(INDEX(UNSPSCDes,MATCH(INDIRECT(ADDRESS(ROW(),COLUMN()-1,4)),UNSPSCCode,0)),IF(INDIRECT(ADDRESS(ROW(),COLUMN()-1,4))="40142008","Mangueras de agua",""))</f>
        <v>Mangueras de agua</v>
      </c>
      <c r="C256" s="65" t="str">
        <f>IFERROR(VLOOKUP("UD",'Informacion '!P:Q,2,FALSE),"")</f>
        <v>Unidad</v>
      </c>
      <c r="D256" s="64">
        <v>5</v>
      </c>
      <c r="E256" s="55">
        <v>65</v>
      </c>
      <c r="F256" s="54">
        <f t="shared" ca="1" si="5"/>
        <v>325</v>
      </c>
    </row>
    <row r="257" spans="1:6" ht="14.1" customHeight="1" x14ac:dyDescent="0.25">
      <c r="A257" s="64" t="s">
        <v>539</v>
      </c>
      <c r="B257" s="53" t="str">
        <f ca="1">IFERROR(INDEX(UNSPSCDes,MATCH(INDIRECT(ADDRESS(ROW(),COLUMN()-1,4)),UNSPSCCode,0)),IF(INDIRECT(ADDRESS(ROW(),COLUMN()-1,4))="30181504","Lavamanos",""))</f>
        <v>Lavamanos</v>
      </c>
      <c r="C257" s="65" t="str">
        <f>IFERROR(VLOOKUP("UD",'Informacion '!P:Q,2,FALSE),"")</f>
        <v>Unidad</v>
      </c>
      <c r="D257" s="64">
        <v>1</v>
      </c>
      <c r="E257" s="55">
        <v>5600</v>
      </c>
      <c r="F257" s="54">
        <f t="shared" ca="1" si="5"/>
        <v>5600</v>
      </c>
    </row>
    <row r="258" spans="1:6" ht="14.1" customHeight="1" x14ac:dyDescent="0.25">
      <c r="A258" s="64" t="s">
        <v>92</v>
      </c>
      <c r="B258" s="53" t="str">
        <f ca="1">IFERROR(INDEX(UNSPSCDes,MATCH(INDIRECT(ADDRESS(ROW(),COLUMN()-1,4)),UNSPSCCode,0)),IF(INDIRECT(ADDRESS(ROW(),COLUMN()-1,4))="31201519","Cinta para reparar tubería o manguera",""))</f>
        <v>Cinta para reparar tubería o manguera</v>
      </c>
      <c r="C258" s="65" t="str">
        <f>IFERROR(VLOOKUP("UD",'Informacion '!P:Q,2,FALSE),"")</f>
        <v>Unidad</v>
      </c>
      <c r="D258" s="64">
        <v>10</v>
      </c>
      <c r="E258" s="55">
        <v>25</v>
      </c>
      <c r="F258" s="54">
        <f t="shared" ca="1" si="5"/>
        <v>250</v>
      </c>
    </row>
    <row r="259" spans="1:6" ht="14.1" customHeight="1" x14ac:dyDescent="0.25">
      <c r="A259" s="64" t="s">
        <v>838</v>
      </c>
      <c r="B259" s="53" t="str">
        <f ca="1">IFERROR(INDEX(UNSPSCDes,MATCH(INDIRECT(ADDRESS(ROW(),COLUMN()-1,4)),UNSPSCCode,0)),IF(INDIRECT(ADDRESS(ROW(),COLUMN()-1,4))="27111909","Espátulas",""))</f>
        <v>Espátulas</v>
      </c>
      <c r="C259" s="65" t="str">
        <f>IFERROR(VLOOKUP("UD",'Informacion '!P:Q,2,FALSE),"")</f>
        <v>Unidad</v>
      </c>
      <c r="D259" s="64">
        <v>2</v>
      </c>
      <c r="E259" s="55">
        <v>180</v>
      </c>
      <c r="F259" s="54">
        <f t="shared" ca="1" si="5"/>
        <v>360</v>
      </c>
    </row>
    <row r="260" spans="1:6" ht="14.1" customHeight="1" x14ac:dyDescent="0.25">
      <c r="A260" s="64" t="s">
        <v>838</v>
      </c>
      <c r="B260" s="53" t="str">
        <f ca="1">IFERROR(INDEX(UNSPSCDes,MATCH(INDIRECT(ADDRESS(ROW(),COLUMN()-1,4)),UNSPSCCode,0)),IF(INDIRECT(ADDRESS(ROW(),COLUMN()-1,4))="27111909","Espátulas",""))</f>
        <v>Espátulas</v>
      </c>
      <c r="C260" s="65" t="str">
        <f>IFERROR(VLOOKUP("UD",'Informacion '!P:Q,2,FALSE),"")</f>
        <v>Unidad</v>
      </c>
      <c r="D260" s="64">
        <v>2</v>
      </c>
      <c r="E260" s="55">
        <v>200</v>
      </c>
      <c r="F260" s="54">
        <f t="shared" ca="1" si="5"/>
        <v>400</v>
      </c>
    </row>
    <row r="261" spans="1:6" ht="14.1" customHeight="1" x14ac:dyDescent="0.25">
      <c r="A261" s="64" t="s">
        <v>767</v>
      </c>
      <c r="B261" s="53" t="str">
        <f ca="1">IFERROR(INDEX(UNSPSCDes,MATCH(INDIRECT(ADDRESS(ROW(),COLUMN()-1,4)),UNSPSCCode,0)),IF(INDIRECT(ADDRESS(ROW(),COLUMN()-1,4))="31161508","Tornillos de rosca para madera",""))</f>
        <v>Tornillos de rosca para madera</v>
      </c>
      <c r="C261" s="65" t="str">
        <f>IFERROR(VLOOKUP("UD",'Informacion '!P:Q,2,FALSE),"")</f>
        <v>Unidad</v>
      </c>
      <c r="D261" s="64">
        <v>100</v>
      </c>
      <c r="E261" s="55">
        <v>2</v>
      </c>
      <c r="F261" s="54">
        <f t="shared" ca="1" si="5"/>
        <v>200</v>
      </c>
    </row>
    <row r="262" spans="1:6" ht="14.1" customHeight="1" x14ac:dyDescent="0.25">
      <c r="A262" s="64" t="s">
        <v>767</v>
      </c>
      <c r="B262" s="53" t="str">
        <f ca="1">IFERROR(INDEX(UNSPSCDes,MATCH(INDIRECT(ADDRESS(ROW(),COLUMN()-1,4)),UNSPSCCode,0)),IF(INDIRECT(ADDRESS(ROW(),COLUMN()-1,4))="31161508","Tornillos de rosca para madera",""))</f>
        <v>Tornillos de rosca para madera</v>
      </c>
      <c r="C262" s="65" t="str">
        <f>IFERROR(VLOOKUP("UD",'Informacion '!P:Q,2,FALSE),"")</f>
        <v>Unidad</v>
      </c>
      <c r="D262" s="64">
        <v>100</v>
      </c>
      <c r="E262" s="55">
        <v>1</v>
      </c>
      <c r="F262" s="54">
        <f t="shared" ca="1" si="5"/>
        <v>100</v>
      </c>
    </row>
    <row r="263" spans="1:6" ht="14.1" customHeight="1" x14ac:dyDescent="0.25">
      <c r="A263" s="64" t="s">
        <v>767</v>
      </c>
      <c r="B263" s="53" t="str">
        <f ca="1">IFERROR(INDEX(UNSPSCDes,MATCH(INDIRECT(ADDRESS(ROW(),COLUMN()-1,4)),UNSPSCCode,0)),IF(INDIRECT(ADDRESS(ROW(),COLUMN()-1,4))="31161508","Tornillos de rosca para madera",""))</f>
        <v>Tornillos de rosca para madera</v>
      </c>
      <c r="C263" s="65" t="str">
        <f>IFERROR(VLOOKUP("UD",'Informacion '!P:Q,2,FALSE),"")</f>
        <v>Unidad</v>
      </c>
      <c r="D263" s="64">
        <v>100</v>
      </c>
      <c r="E263" s="55">
        <v>1</v>
      </c>
      <c r="F263" s="54">
        <f t="shared" ca="1" si="5"/>
        <v>100</v>
      </c>
    </row>
    <row r="264" spans="1:6" ht="14.1" customHeight="1" x14ac:dyDescent="0.25">
      <c r="A264" s="64" t="s">
        <v>25</v>
      </c>
      <c r="B264" s="53" t="str">
        <f ca="1">IFERROR(INDEX(UNSPSCDes,MATCH(INDIRECT(ADDRESS(ROW(),COLUMN()-1,4)),UNSPSCCode,0)),IF(INDIRECT(ADDRESS(ROW(),COLUMN()-1,4))="27111509","Barrenas",""))</f>
        <v>Barrenas</v>
      </c>
      <c r="C264" s="65" t="str">
        <f>IFERROR(VLOOKUP("UD",'Informacion '!P:Q,2,FALSE),"")</f>
        <v>Unidad</v>
      </c>
      <c r="D264" s="64">
        <v>2</v>
      </c>
      <c r="E264" s="55">
        <v>55</v>
      </c>
      <c r="F264" s="54">
        <f t="shared" ca="1" si="5"/>
        <v>110</v>
      </c>
    </row>
    <row r="265" spans="1:6" ht="14.1" customHeight="1" x14ac:dyDescent="0.25">
      <c r="A265" s="64" t="s">
        <v>797</v>
      </c>
      <c r="B265" s="53" t="str">
        <f ca="1">IFERROR(INDEX(UNSPSCDes,MATCH(INDIRECT(ADDRESS(ROW(),COLUMN()-1,4)),UNSPSCCode,0)),IF(INDIRECT(ADDRESS(ROW(),COLUMN()-1,4))="31201507","Cinta de fibra de vidrio",""))</f>
        <v>Cinta de fibra de vidrio</v>
      </c>
      <c r="C265" s="65" t="str">
        <f>IFERROR(VLOOKUP("YD",'Informacion '!P:Q,2,FALSE),"")</f>
        <v>Yarda</v>
      </c>
      <c r="D265" s="64">
        <v>15</v>
      </c>
      <c r="E265" s="55">
        <v>100</v>
      </c>
      <c r="F265" s="54">
        <f t="shared" ca="1" si="5"/>
        <v>1500</v>
      </c>
    </row>
    <row r="266" spans="1:6" ht="14.1" customHeight="1" x14ac:dyDescent="0.25">
      <c r="A266" s="64" t="s">
        <v>167</v>
      </c>
      <c r="B266" s="53" t="str">
        <f ca="1">IFERROR(INDEX(UNSPSCDes,MATCH(INDIRECT(ADDRESS(ROW(),COLUMN()-1,4)),UNSPSCCode,0)),IF(INDIRECT(ADDRESS(ROW(),COLUMN()-1,4))="11162108","Tela malla de alambre",""))</f>
        <v>Tela malla de alambre</v>
      </c>
      <c r="C266" s="65" t="str">
        <f>IFERROR(VLOOKUP("UD",'Informacion '!P:Q,2,FALSE),"")</f>
        <v>Unidad</v>
      </c>
      <c r="D266" s="64">
        <v>1</v>
      </c>
      <c r="E266" s="55">
        <v>1500</v>
      </c>
      <c r="F266" s="54">
        <f t="shared" ca="1" si="5"/>
        <v>1500</v>
      </c>
    </row>
    <row r="267" spans="1:6" ht="14.1" customHeight="1" x14ac:dyDescent="0.25">
      <c r="A267" s="64" t="s">
        <v>460</v>
      </c>
      <c r="B267" s="53" t="str">
        <f ca="1">IFERROR(INDEX(UNSPSCDes,MATCH(INDIRECT(ADDRESS(ROW(),COLUMN()-1,4)),UNSPSCCode,0)),IF(INDIRECT(ADDRESS(ROW(),COLUMN()-1,4))="30181505","Inodoros o excusados",""))</f>
        <v>Inodoros o excusados</v>
      </c>
      <c r="C267" s="65" t="str">
        <f>IFERROR(VLOOKUP("UD",'Informacion '!P:Q,2,FALSE),"")</f>
        <v>Unidad</v>
      </c>
      <c r="D267" s="64">
        <v>2</v>
      </c>
      <c r="E267" s="55">
        <v>4500</v>
      </c>
      <c r="F267" s="54">
        <f t="shared" ca="1" si="5"/>
        <v>9000</v>
      </c>
    </row>
    <row r="268" spans="1:6" ht="14.1" customHeight="1" x14ac:dyDescent="0.25">
      <c r="A268" s="64" t="s">
        <v>460</v>
      </c>
      <c r="B268" s="53" t="str">
        <f ca="1">IFERROR(INDEX(UNSPSCDes,MATCH(INDIRECT(ADDRESS(ROW(),COLUMN()-1,4)),UNSPSCCode,0)),IF(INDIRECT(ADDRESS(ROW(),COLUMN()-1,4))="30181505","Inodoros o excusados",""))</f>
        <v>Inodoros o excusados</v>
      </c>
      <c r="C268" s="65" t="str">
        <f>IFERROR(VLOOKUP("UD",'Informacion '!P:Q,2,FALSE),"")</f>
        <v>Unidad</v>
      </c>
      <c r="D268" s="64">
        <v>2</v>
      </c>
      <c r="E268" s="55">
        <v>4500</v>
      </c>
      <c r="F268" s="54">
        <f t="shared" ca="1" si="5"/>
        <v>9000</v>
      </c>
    </row>
    <row r="269" spans="1:6" ht="14.1" customHeight="1" x14ac:dyDescent="0.25">
      <c r="A269" s="64" t="s">
        <v>564</v>
      </c>
      <c r="B269" s="53" t="str">
        <f ca="1">IFERROR(INDEX(UNSPSCDes,MATCH(INDIRECT(ADDRESS(ROW(),COLUMN()-1,4)),UNSPSCCode,0)),IF(INDIRECT(ADDRESS(ROW(),COLUMN()-1,4))="40142115","Tubería de plástico",""))</f>
        <v>Tubería de plástico</v>
      </c>
      <c r="C269" s="65" t="str">
        <f>IFERROR(VLOOKUP("UD",'Informacion '!P:Q,2,FALSE),"")</f>
        <v>Unidad</v>
      </c>
      <c r="D269" s="64">
        <v>2</v>
      </c>
      <c r="E269" s="55">
        <v>200</v>
      </c>
      <c r="F269" s="54">
        <f t="shared" ca="1" si="5"/>
        <v>400</v>
      </c>
    </row>
    <row r="270" spans="1:6" ht="14.1" customHeight="1" x14ac:dyDescent="0.25">
      <c r="A270" s="64" t="s">
        <v>564</v>
      </c>
      <c r="B270" s="53" t="str">
        <f ca="1">IFERROR(INDEX(UNSPSCDes,MATCH(INDIRECT(ADDRESS(ROW(),COLUMN()-1,4)),UNSPSCCode,0)),IF(INDIRECT(ADDRESS(ROW(),COLUMN()-1,4))="40142115","Tubería de plástico",""))</f>
        <v>Tubería de plástico</v>
      </c>
      <c r="C270" s="65" t="str">
        <f>IFERROR(VLOOKUP("UD",'Informacion '!P:Q,2,FALSE),"")</f>
        <v>Unidad</v>
      </c>
      <c r="D270" s="64">
        <v>2</v>
      </c>
      <c r="E270" s="55">
        <v>400</v>
      </c>
      <c r="F270" s="54">
        <f t="shared" ref="F270:F306" ca="1" si="6">INDIRECT(ADDRESS(ROW(),COLUMN()-2,4))*INDIRECT(ADDRESS(ROW(),COLUMN()-1,4))</f>
        <v>800</v>
      </c>
    </row>
    <row r="271" spans="1:6" ht="14.1" customHeight="1" x14ac:dyDescent="0.25">
      <c r="A271" s="64" t="s">
        <v>564</v>
      </c>
      <c r="B271" s="53" t="str">
        <f ca="1">IFERROR(INDEX(UNSPSCDes,MATCH(INDIRECT(ADDRESS(ROW(),COLUMN()-1,4)),UNSPSCCode,0)),IF(INDIRECT(ADDRESS(ROW(),COLUMN()-1,4))="40142115","Tubería de plástico",""))</f>
        <v>Tubería de plástico</v>
      </c>
      <c r="C271" s="65" t="str">
        <f>IFERROR(VLOOKUP("UD",'Informacion '!P:Q,2,FALSE),"")</f>
        <v>Unidad</v>
      </c>
      <c r="D271" s="64">
        <v>3</v>
      </c>
      <c r="E271" s="55">
        <v>650</v>
      </c>
      <c r="F271" s="54">
        <f t="shared" ca="1" si="6"/>
        <v>1950</v>
      </c>
    </row>
    <row r="272" spans="1:6" ht="14.1" customHeight="1" x14ac:dyDescent="0.25">
      <c r="A272" s="64" t="s">
        <v>564</v>
      </c>
      <c r="B272" s="53" t="str">
        <f ca="1">IFERROR(INDEX(UNSPSCDes,MATCH(INDIRECT(ADDRESS(ROW(),COLUMN()-1,4)),UNSPSCCode,0)),IF(INDIRECT(ADDRESS(ROW(),COLUMN()-1,4))="40142115","Tubería de plástico",""))</f>
        <v>Tubería de plástico</v>
      </c>
      <c r="C272" s="65" t="str">
        <f>IFERROR(VLOOKUP("UD",'Informacion '!P:Q,2,FALSE),"")</f>
        <v>Unidad</v>
      </c>
      <c r="D272" s="64">
        <v>2</v>
      </c>
      <c r="E272" s="55">
        <v>800</v>
      </c>
      <c r="F272" s="54">
        <f t="shared" ca="1" si="6"/>
        <v>1600</v>
      </c>
    </row>
    <row r="273" spans="1:6" ht="14.1" customHeight="1" x14ac:dyDescent="0.25">
      <c r="A273" s="64" t="s">
        <v>564</v>
      </c>
      <c r="B273" s="53" t="str">
        <f ca="1">IFERROR(INDEX(UNSPSCDes,MATCH(INDIRECT(ADDRESS(ROW(),COLUMN()-1,4)),UNSPSCCode,0)),IF(INDIRECT(ADDRESS(ROW(),COLUMN()-1,4))="40142115","Tubería de plástico",""))</f>
        <v>Tubería de plástico</v>
      </c>
      <c r="C273" s="65" t="str">
        <f>IFERROR(VLOOKUP("UD",'Informacion '!P:Q,2,FALSE),"")</f>
        <v>Unidad</v>
      </c>
      <c r="D273" s="64">
        <v>5</v>
      </c>
      <c r="E273" s="55">
        <v>300</v>
      </c>
      <c r="F273" s="54">
        <f t="shared" ca="1" si="6"/>
        <v>1500</v>
      </c>
    </row>
    <row r="274" spans="1:6" ht="14.1" customHeight="1" x14ac:dyDescent="0.25">
      <c r="A274" s="64" t="s">
        <v>625</v>
      </c>
      <c r="B274" s="53" t="str">
        <f ca="1">IFERROR(INDEX(UNSPSCDes,MATCH(INDIRECT(ADDRESS(ROW(),COLUMN()-1,4)),UNSPSCCode,0)),IF(INDIRECT(ADDRESS(ROW(),COLUMN()-1,4))="40142612","Adaptadores de tubo",""))</f>
        <v>Adaptadores de tubo</v>
      </c>
      <c r="C274" s="65" t="str">
        <f>IFERROR(VLOOKUP("UD",'Informacion '!P:Q,2,FALSE),"")</f>
        <v>Unidad</v>
      </c>
      <c r="D274" s="64">
        <v>12</v>
      </c>
      <c r="E274" s="55">
        <v>7</v>
      </c>
      <c r="F274" s="54">
        <f t="shared" ca="1" si="6"/>
        <v>84</v>
      </c>
    </row>
    <row r="275" spans="1:6" ht="14.1" customHeight="1" x14ac:dyDescent="0.25">
      <c r="A275" s="64" t="s">
        <v>555</v>
      </c>
      <c r="B275" s="53" t="str">
        <f ca="1">IFERROR(INDEX(UNSPSCDes,MATCH(INDIRECT(ADDRESS(ROW(),COLUMN()-1,4)),UNSPSCCode,0)),IF(INDIRECT(ADDRESS(ROW(),COLUMN()-1,4))="26121519","Alambre de aluminio revestido de cobre",""))</f>
        <v>Alambre de aluminio revestido de cobre</v>
      </c>
      <c r="C275" s="65" t="str">
        <f>IFERROR(VLOOKUP("UD",'Informacion '!P:Q,2,FALSE),"")</f>
        <v>Unidad</v>
      </c>
      <c r="D275" s="64">
        <v>5</v>
      </c>
      <c r="E275" s="55">
        <v>2650</v>
      </c>
      <c r="F275" s="54">
        <f t="shared" ca="1" si="6"/>
        <v>13250</v>
      </c>
    </row>
    <row r="276" spans="1:6" ht="14.1" customHeight="1" x14ac:dyDescent="0.25">
      <c r="A276" s="64" t="s">
        <v>775</v>
      </c>
      <c r="B276" s="53" t="str">
        <f ca="1">IFERROR(INDEX(UNSPSCDes,MATCH(INDIRECT(ADDRESS(ROW(),COLUMN()-1,4)),UNSPSCCode,0)),IF(INDIRECT(ADDRESS(ROW(),COLUMN()-1,4))="26121520","Alambre de cobre-acero",""))</f>
        <v>Alambre de cobre-acero</v>
      </c>
      <c r="C276" s="65" t="str">
        <f>IFERROR(VLOOKUP("UD",'Informacion '!P:Q,2,FALSE),"")</f>
        <v>Unidad</v>
      </c>
      <c r="D276" s="64">
        <v>2</v>
      </c>
      <c r="E276" s="55">
        <v>3965</v>
      </c>
      <c r="F276" s="54">
        <f t="shared" ca="1" si="6"/>
        <v>7930</v>
      </c>
    </row>
    <row r="277" spans="1:6" ht="14.1" customHeight="1" x14ac:dyDescent="0.25">
      <c r="A277" s="64" t="s">
        <v>775</v>
      </c>
      <c r="B277" s="53" t="str">
        <f ca="1">IFERROR(INDEX(UNSPSCDes,MATCH(INDIRECT(ADDRESS(ROW(),COLUMN()-1,4)),UNSPSCCode,0)),IF(INDIRECT(ADDRESS(ROW(),COLUMN()-1,4))="26121520","Alambre de cobre-acero",""))</f>
        <v>Alambre de cobre-acero</v>
      </c>
      <c r="C277" s="65" t="str">
        <f>IFERROR(VLOOKUP("UD",'Informacion '!P:Q,2,FALSE),"")</f>
        <v>Unidad</v>
      </c>
      <c r="D277" s="64">
        <v>3</v>
      </c>
      <c r="E277" s="55">
        <v>11400</v>
      </c>
      <c r="F277" s="54">
        <f t="shared" ca="1" si="6"/>
        <v>34200</v>
      </c>
    </row>
    <row r="278" spans="1:6" ht="14.1" customHeight="1" x14ac:dyDescent="0.25">
      <c r="A278" s="64" t="s">
        <v>775</v>
      </c>
      <c r="B278" s="53" t="str">
        <f ca="1">IFERROR(INDEX(UNSPSCDes,MATCH(INDIRECT(ADDRESS(ROW(),COLUMN()-1,4)),UNSPSCCode,0)),IF(INDIRECT(ADDRESS(ROW(),COLUMN()-1,4))="26121520","Alambre de cobre-acero",""))</f>
        <v>Alambre de cobre-acero</v>
      </c>
      <c r="C278" s="65" t="str">
        <f>IFERROR(VLOOKUP("UD",'Informacion '!P:Q,2,FALSE),"")</f>
        <v>Unidad</v>
      </c>
      <c r="D278" s="64">
        <v>3</v>
      </c>
      <c r="E278" s="55">
        <v>1350</v>
      </c>
      <c r="F278" s="54">
        <f t="shared" ca="1" si="6"/>
        <v>4050</v>
      </c>
    </row>
    <row r="279" spans="1:6" ht="14.1" customHeight="1" x14ac:dyDescent="0.25">
      <c r="A279" s="64" t="s">
        <v>775</v>
      </c>
      <c r="B279" s="53" t="str">
        <f ca="1">IFERROR(INDEX(UNSPSCDes,MATCH(INDIRECT(ADDRESS(ROW(),COLUMN()-1,4)),UNSPSCCode,0)),IF(INDIRECT(ADDRESS(ROW(),COLUMN()-1,4))="26121520","Alambre de cobre-acero",""))</f>
        <v>Alambre de cobre-acero</v>
      </c>
      <c r="C279" s="65" t="str">
        <f>IFERROR(VLOOKUP("UD",'Informacion '!P:Q,2,FALSE),"")</f>
        <v>Unidad</v>
      </c>
      <c r="D279" s="64">
        <v>1</v>
      </c>
      <c r="E279" s="55">
        <v>23100</v>
      </c>
      <c r="F279" s="54">
        <f t="shared" ca="1" si="6"/>
        <v>23100</v>
      </c>
    </row>
    <row r="280" spans="1:6" ht="14.1" customHeight="1" x14ac:dyDescent="0.25">
      <c r="A280" s="64" t="s">
        <v>542</v>
      </c>
      <c r="B280" s="53" t="str">
        <f ca="1">IFERROR(INDEX(UNSPSCDes,MATCH(INDIRECT(ADDRESS(ROW(),COLUMN()-1,4)),UNSPSCCode,0)),IF(INDIRECT(ADDRESS(ROW(),COLUMN()-1,4))="39121721","Aislantes eléctricos",""))</f>
        <v>Aislantes eléctricos</v>
      </c>
      <c r="C280" s="65" t="str">
        <f>IFERROR(VLOOKUP("UD",'Informacion '!P:Q,2,FALSE),"")</f>
        <v>Unidad</v>
      </c>
      <c r="D280" s="64">
        <v>1</v>
      </c>
      <c r="E280" s="55">
        <v>6000</v>
      </c>
      <c r="F280" s="54">
        <f t="shared" ca="1" si="6"/>
        <v>6000</v>
      </c>
    </row>
    <row r="281" spans="1:6" ht="14.1" customHeight="1" x14ac:dyDescent="0.25">
      <c r="A281" s="64" t="s">
        <v>542</v>
      </c>
      <c r="B281" s="53" t="str">
        <f ca="1">IFERROR(INDEX(UNSPSCDes,MATCH(INDIRECT(ADDRESS(ROW(),COLUMN()-1,4)),UNSPSCCode,0)),IF(INDIRECT(ADDRESS(ROW(),COLUMN()-1,4))="39121721","Aislantes eléctricos",""))</f>
        <v>Aislantes eléctricos</v>
      </c>
      <c r="C281" s="65" t="str">
        <f>IFERROR(VLOOKUP("UD",'Informacion '!P:Q,2,FALSE),"")</f>
        <v>Unidad</v>
      </c>
      <c r="D281" s="64">
        <v>1</v>
      </c>
      <c r="E281" s="55">
        <v>9300</v>
      </c>
      <c r="F281" s="54">
        <f t="shared" ca="1" si="6"/>
        <v>9300</v>
      </c>
    </row>
    <row r="282" spans="1:6" ht="14.1" customHeight="1" x14ac:dyDescent="0.25">
      <c r="A282" s="64" t="s">
        <v>649</v>
      </c>
      <c r="B282" s="53" t="str">
        <f ca="1">IFERROR(INDEX(UNSPSCDes,MATCH(INDIRECT(ADDRESS(ROW(),COLUMN()-1,4)),UNSPSCCode,0)),IF(INDIRECT(ADDRESS(ROW(),COLUMN()-1,4))="60104912","Alambres o cables eléctricos",""))</f>
        <v>Alambres o cables eléctricos</v>
      </c>
      <c r="C282" s="65" t="str">
        <f>IFERROR(VLOOKUP("UD",'Informacion '!P:Q,2,FALSE),"")</f>
        <v>Unidad</v>
      </c>
      <c r="D282" s="64">
        <v>1</v>
      </c>
      <c r="E282" s="55">
        <v>5782</v>
      </c>
      <c r="F282" s="54">
        <f t="shared" ca="1" si="6"/>
        <v>5782</v>
      </c>
    </row>
    <row r="283" spans="1:6" ht="14.1" customHeight="1" x14ac:dyDescent="0.25">
      <c r="A283" s="64" t="s">
        <v>151</v>
      </c>
      <c r="B283" s="53" t="str">
        <f ca="1">IFERROR(INDEX(UNSPSCDes,MATCH(INDIRECT(ADDRESS(ROW(),COLUMN()-1,4)),UNSPSCCode,0)),IF(INDIRECT(ADDRESS(ROW(),COLUMN()-1,4))="39101801","Filamento de lámpara",""))</f>
        <v>Filamento de lámpara</v>
      </c>
      <c r="C283" s="65" t="str">
        <f>IFERROR(VLOOKUP("UD",'Informacion '!P:Q,2,FALSE),"")</f>
        <v>Unidad</v>
      </c>
      <c r="D283" s="64">
        <v>37</v>
      </c>
      <c r="E283" s="55">
        <v>150</v>
      </c>
      <c r="F283" s="54">
        <f t="shared" ca="1" si="6"/>
        <v>5550</v>
      </c>
    </row>
    <row r="284" spans="1:6" ht="14.1" customHeight="1" x14ac:dyDescent="0.25">
      <c r="A284" s="64" t="s">
        <v>151</v>
      </c>
      <c r="B284" s="53" t="str">
        <f ca="1">IFERROR(INDEX(UNSPSCDes,MATCH(INDIRECT(ADDRESS(ROW(),COLUMN()-1,4)),UNSPSCCode,0)),IF(INDIRECT(ADDRESS(ROW(),COLUMN()-1,4))="39101801","Filamento de lámpara",""))</f>
        <v>Filamento de lámpara</v>
      </c>
      <c r="C284" s="65" t="str">
        <f>IFERROR(VLOOKUP("UD",'Informacion '!P:Q,2,FALSE),"")</f>
        <v>Unidad</v>
      </c>
      <c r="D284" s="64">
        <v>37</v>
      </c>
      <c r="E284" s="55">
        <v>150</v>
      </c>
      <c r="F284" s="54">
        <f t="shared" ca="1" si="6"/>
        <v>5550</v>
      </c>
    </row>
    <row r="285" spans="1:6" ht="14.1" customHeight="1" x14ac:dyDescent="0.25">
      <c r="A285" s="64" t="s">
        <v>690</v>
      </c>
      <c r="B285" s="53" t="str">
        <f ca="1">IFERROR(INDEX(UNSPSCDes,MATCH(INDIRECT(ADDRESS(ROW(),COLUMN()-1,4)),UNSPSCCode,0)),IF(INDIRECT(ADDRESS(ROW(),COLUMN()-1,4))="39101701","Tubos fluorescentes",""))</f>
        <v>Tubos fluorescentes</v>
      </c>
      <c r="C285" s="65" t="str">
        <f>IFERROR(VLOOKUP("CAJ",'Informacion '!P:Q,2,FALSE),"")</f>
        <v>Caja</v>
      </c>
      <c r="D285" s="64">
        <v>2</v>
      </c>
      <c r="E285" s="55">
        <v>1100</v>
      </c>
      <c r="F285" s="54">
        <f t="shared" ca="1" si="6"/>
        <v>2200</v>
      </c>
    </row>
    <row r="286" spans="1:6" ht="14.1" customHeight="1" x14ac:dyDescent="0.25">
      <c r="A286" s="64" t="s">
        <v>690</v>
      </c>
      <c r="B286" s="53" t="str">
        <f ca="1">IFERROR(INDEX(UNSPSCDes,MATCH(INDIRECT(ADDRESS(ROW(),COLUMN()-1,4)),UNSPSCCode,0)),IF(INDIRECT(ADDRESS(ROW(),COLUMN()-1,4))="39101701","Tubos fluorescentes",""))</f>
        <v>Tubos fluorescentes</v>
      </c>
      <c r="C286" s="65" t="str">
        <f>IFERROR(VLOOKUP("CAJ",'Informacion '!P:Q,2,FALSE),"")</f>
        <v>Caja</v>
      </c>
      <c r="D286" s="64">
        <v>1</v>
      </c>
      <c r="E286" s="55">
        <v>1160</v>
      </c>
      <c r="F286" s="54">
        <f t="shared" ca="1" si="6"/>
        <v>1160</v>
      </c>
    </row>
    <row r="287" spans="1:6" ht="14.1" customHeight="1" x14ac:dyDescent="0.25">
      <c r="A287" s="64" t="s">
        <v>406</v>
      </c>
      <c r="B287" s="53" t="str">
        <f ca="1">IFERROR(INDEX(UNSPSCDes,MATCH(INDIRECT(ADDRESS(ROW(),COLUMN()-1,4)),UNSPSCCode,0)),IF(INDIRECT(ADDRESS(ROW(),COLUMN()-1,4))="39121406","Receptáculos eléctricos",""))</f>
        <v>Receptáculos eléctricos</v>
      </c>
      <c r="C287" s="65" t="str">
        <f>IFERROR(VLOOKUP("UD",'Informacion '!P:Q,2,FALSE),"")</f>
        <v>Unidad</v>
      </c>
      <c r="D287" s="64">
        <v>40</v>
      </c>
      <c r="E287" s="55">
        <v>130</v>
      </c>
      <c r="F287" s="54">
        <f t="shared" ca="1" si="6"/>
        <v>5200</v>
      </c>
    </row>
    <row r="288" spans="1:6" ht="14.1" customHeight="1" x14ac:dyDescent="0.25">
      <c r="A288" s="64" t="s">
        <v>757</v>
      </c>
      <c r="B288" s="53" t="str">
        <f ca="1">IFERROR(INDEX(UNSPSCDes,MATCH(INDIRECT(ADDRESS(ROW(),COLUMN()-1,4)),UNSPSCCode,0)),IF(INDIRECT(ADDRESS(ROW(),COLUMN()-1,4))="39121402","Enchufes eléctricos",""))</f>
        <v>Enchufes eléctricos</v>
      </c>
      <c r="C288" s="65" t="str">
        <f>IFERROR(VLOOKUP("UD",'Informacion '!P:Q,2,FALSE),"")</f>
        <v>Unidad</v>
      </c>
      <c r="D288" s="64">
        <v>20</v>
      </c>
      <c r="E288" s="55">
        <v>135</v>
      </c>
      <c r="F288" s="54">
        <f t="shared" ca="1" si="6"/>
        <v>2700</v>
      </c>
    </row>
    <row r="289" spans="1:6" ht="14.1" customHeight="1" x14ac:dyDescent="0.25">
      <c r="A289" s="64" t="s">
        <v>542</v>
      </c>
      <c r="B289" s="53" t="str">
        <f ca="1">IFERROR(INDEX(UNSPSCDes,MATCH(INDIRECT(ADDRESS(ROW(),COLUMN()-1,4)),UNSPSCCode,0)),IF(INDIRECT(ADDRESS(ROW(),COLUMN()-1,4))="39121721","Aislantes eléctricos",""))</f>
        <v>Aislantes eléctricos</v>
      </c>
      <c r="C289" s="65" t="str">
        <f>IFERROR(VLOOKUP("UD",'Informacion '!P:Q,2,FALSE),"")</f>
        <v>Unidad</v>
      </c>
      <c r="D289" s="64">
        <v>25</v>
      </c>
      <c r="E289" s="55">
        <v>375</v>
      </c>
      <c r="F289" s="54">
        <f t="shared" ca="1" si="6"/>
        <v>9375</v>
      </c>
    </row>
    <row r="290" spans="1:6" ht="14.1" customHeight="1" x14ac:dyDescent="0.25">
      <c r="A290" s="64" t="s">
        <v>542</v>
      </c>
      <c r="B290" s="53" t="str">
        <f ca="1">IFERROR(INDEX(UNSPSCDes,MATCH(INDIRECT(ADDRESS(ROW(),COLUMN()-1,4)),UNSPSCCode,0)),IF(INDIRECT(ADDRESS(ROW(),COLUMN()-1,4))="39121721","Aislantes eléctricos",""))</f>
        <v>Aislantes eléctricos</v>
      </c>
      <c r="C290" s="65" t="str">
        <f>IFERROR(VLOOKUP("UD",'Informacion '!P:Q,2,FALSE),"")</f>
        <v>Unidad</v>
      </c>
      <c r="D290" s="64">
        <v>7</v>
      </c>
      <c r="E290" s="55">
        <v>1060</v>
      </c>
      <c r="F290" s="54">
        <f t="shared" ca="1" si="6"/>
        <v>7420</v>
      </c>
    </row>
    <row r="291" spans="1:6" ht="14.1" customHeight="1" x14ac:dyDescent="0.25">
      <c r="A291" s="64" t="s">
        <v>446</v>
      </c>
      <c r="B291" s="53" t="str">
        <f ca="1">IFERROR(INDEX(UNSPSCDes,MATCH(INDIRECT(ADDRESS(ROW(),COLUMN()-1,4)),UNSPSCCode,0)),IF(INDIRECT(ADDRESS(ROW(),COLUMN()-1,4))="39121601","Breakers de circuito",""))</f>
        <v>Breakers de circuito</v>
      </c>
      <c r="C291" s="65" t="str">
        <f>IFERROR(VLOOKUP("UD",'Informacion '!P:Q,2,FALSE),"")</f>
        <v>Unidad</v>
      </c>
      <c r="D291" s="64">
        <v>25</v>
      </c>
      <c r="E291" s="55">
        <v>225</v>
      </c>
      <c r="F291" s="54">
        <f t="shared" ca="1" si="6"/>
        <v>5625</v>
      </c>
    </row>
    <row r="292" spans="1:6" ht="14.1" customHeight="1" x14ac:dyDescent="0.25">
      <c r="A292" s="64" t="s">
        <v>446</v>
      </c>
      <c r="B292" s="53" t="str">
        <f ca="1">IFERROR(INDEX(UNSPSCDes,MATCH(INDIRECT(ADDRESS(ROW(),COLUMN()-1,4)),UNSPSCCode,0)),IF(INDIRECT(ADDRESS(ROW(),COLUMN()-1,4))="39121601","Breakers de circuito",""))</f>
        <v>Breakers de circuito</v>
      </c>
      <c r="C292" s="65" t="str">
        <f>IFERROR(VLOOKUP("UD",'Informacion '!P:Q,2,FALSE),"")</f>
        <v>Unidad</v>
      </c>
      <c r="D292" s="64">
        <v>5</v>
      </c>
      <c r="E292" s="55">
        <v>400</v>
      </c>
      <c r="F292" s="54">
        <f t="shared" ca="1" si="6"/>
        <v>2000</v>
      </c>
    </row>
    <row r="293" spans="1:6" ht="14.1" customHeight="1" x14ac:dyDescent="0.25">
      <c r="A293" s="64" t="s">
        <v>435</v>
      </c>
      <c r="B293" s="53" t="str">
        <f ca="1">IFERROR(INDEX(UNSPSCDes,MATCH(INDIRECT(ADDRESS(ROW(),COLUMN()-1,4)),UNSPSCCode,0)),IF(INDIRECT(ADDRESS(ROW(),COLUMN()-1,4))="39121520","Relés de sobrecarga",""))</f>
        <v>Relés de sobrecarga</v>
      </c>
      <c r="C293" s="65" t="str">
        <f>IFERROR(VLOOKUP("UD",'Informacion '!P:Q,2,FALSE),"")</f>
        <v>Unidad</v>
      </c>
      <c r="D293" s="64">
        <v>2</v>
      </c>
      <c r="E293" s="55">
        <v>3200</v>
      </c>
      <c r="F293" s="54">
        <f t="shared" ca="1" si="6"/>
        <v>6400</v>
      </c>
    </row>
    <row r="294" spans="1:6" ht="14.1" customHeight="1" x14ac:dyDescent="0.25">
      <c r="A294" s="64" t="s">
        <v>103</v>
      </c>
      <c r="B294" s="53" t="str">
        <f ca="1">IFERROR(INDEX(UNSPSCDes,MATCH(INDIRECT(ADDRESS(ROW(),COLUMN()-1,4)),UNSPSCCode,0)),IF(INDIRECT(ADDRESS(ROW(),COLUMN()-1,4))="39121529","Contactores",""))</f>
        <v>Contactores</v>
      </c>
      <c r="C294" s="65" t="str">
        <f>IFERROR(VLOOKUP("UD",'Informacion '!P:Q,2,FALSE),"")</f>
        <v>Unidad</v>
      </c>
      <c r="D294" s="64">
        <v>3</v>
      </c>
      <c r="E294" s="55">
        <v>3300</v>
      </c>
      <c r="F294" s="54">
        <f t="shared" ca="1" si="6"/>
        <v>9900</v>
      </c>
    </row>
    <row r="295" spans="1:6" ht="14.1" customHeight="1" x14ac:dyDescent="0.25">
      <c r="A295" s="64" t="s">
        <v>352</v>
      </c>
      <c r="B295" s="53" t="str">
        <f ca="1">IFERROR(INDEX(UNSPSCDes,MATCH(INDIRECT(ADDRESS(ROW(),COLUMN()-1,4)),UNSPSCCode,0)),IF(INDIRECT(ADDRESS(ROW(),COLUMN()-1,4))="39121531","Interruptores de flotador o de nivel",""))</f>
        <v>Interruptores de flotador o de nivel</v>
      </c>
      <c r="C295" s="65" t="str">
        <f>IFERROR(VLOOKUP("UD",'Informacion '!P:Q,2,FALSE),"")</f>
        <v>Unidad</v>
      </c>
      <c r="D295" s="64">
        <v>3</v>
      </c>
      <c r="E295" s="55">
        <v>4600</v>
      </c>
      <c r="F295" s="54">
        <f t="shared" ca="1" si="6"/>
        <v>13800</v>
      </c>
    </row>
    <row r="296" spans="1:6" ht="14.1" customHeight="1" x14ac:dyDescent="0.25">
      <c r="A296" s="64" t="s">
        <v>435</v>
      </c>
      <c r="B296" s="53" t="str">
        <f ca="1">IFERROR(INDEX(UNSPSCDes,MATCH(INDIRECT(ADDRESS(ROW(),COLUMN()-1,4)),UNSPSCCode,0)),IF(INDIRECT(ADDRESS(ROW(),COLUMN()-1,4))="39121520","Relés de sobrecarga",""))</f>
        <v>Relés de sobrecarga</v>
      </c>
      <c r="C296" s="65" t="str">
        <f>IFERROR(VLOOKUP("UD",'Informacion '!P:Q,2,FALSE),"")</f>
        <v>Unidad</v>
      </c>
      <c r="D296" s="64">
        <v>4</v>
      </c>
      <c r="E296" s="55">
        <v>2050</v>
      </c>
      <c r="F296" s="54">
        <f t="shared" ca="1" si="6"/>
        <v>8200</v>
      </c>
    </row>
    <row r="297" spans="1:6" ht="14.1" customHeight="1" x14ac:dyDescent="0.25">
      <c r="A297" s="64" t="s">
        <v>435</v>
      </c>
      <c r="B297" s="53" t="str">
        <f ca="1">IFERROR(INDEX(UNSPSCDes,MATCH(INDIRECT(ADDRESS(ROW(),COLUMN()-1,4)),UNSPSCCode,0)),IF(INDIRECT(ADDRESS(ROW(),COLUMN()-1,4))="39121520","Relés de sobrecarga",""))</f>
        <v>Relés de sobrecarga</v>
      </c>
      <c r="C297" s="65" t="str">
        <f>IFERROR(VLOOKUP("UD",'Informacion '!P:Q,2,FALSE),"")</f>
        <v>Unidad</v>
      </c>
      <c r="D297" s="64">
        <v>3</v>
      </c>
      <c r="E297" s="55">
        <v>3900</v>
      </c>
      <c r="F297" s="54">
        <f t="shared" ca="1" si="6"/>
        <v>11700</v>
      </c>
    </row>
    <row r="298" spans="1:6" ht="14.1" customHeight="1" x14ac:dyDescent="0.25">
      <c r="A298" s="64" t="s">
        <v>99</v>
      </c>
      <c r="B298" s="53" t="str">
        <f ca="1">IFERROR(INDEX(UNSPSCDes,MATCH(INDIRECT(ADDRESS(ROW(),COLUMN()-1,4)),UNSPSCCode,0)),IF(INDIRECT(ADDRESS(ROW(),COLUMN()-1,4))="39101617","Lámparas de sodio de alta presión hid",""))</f>
        <v>Lámparas de sodio de alta presión hid</v>
      </c>
      <c r="C298" s="65" t="str">
        <f>IFERROR(VLOOKUP("UD",'Informacion '!P:Q,2,FALSE),"")</f>
        <v>Unidad</v>
      </c>
      <c r="D298" s="64">
        <v>3</v>
      </c>
      <c r="E298" s="55">
        <v>12500</v>
      </c>
      <c r="F298" s="54">
        <f t="shared" ca="1" si="6"/>
        <v>37500</v>
      </c>
    </row>
    <row r="299" spans="1:6" ht="14.1" customHeight="1" x14ac:dyDescent="0.25">
      <c r="A299" s="64" t="s">
        <v>232</v>
      </c>
      <c r="B299" s="53" t="str">
        <f ca="1">IFERROR(INDEX(UNSPSCDes,MATCH(INDIRECT(ADDRESS(ROW(),COLUMN()-1,4)),UNSPSCCode,0)),IF(INDIRECT(ADDRESS(ROW(),COLUMN()-1,4))="40142613","Conectores de tubo",""))</f>
        <v>Conectores de tubo</v>
      </c>
      <c r="C299" s="65" t="str">
        <f>IFERROR(VLOOKUP("FT",'Informacion '!P:Q,2,FALSE),"")</f>
        <v>Pie</v>
      </c>
      <c r="D299" s="64">
        <v>25</v>
      </c>
      <c r="E299" s="55">
        <v>165</v>
      </c>
      <c r="F299" s="54">
        <f t="shared" ca="1" si="6"/>
        <v>4125</v>
      </c>
    </row>
    <row r="300" spans="1:6" ht="14.1" customHeight="1" x14ac:dyDescent="0.25">
      <c r="A300" s="64" t="s">
        <v>232</v>
      </c>
      <c r="B300" s="53" t="str">
        <f ca="1">IFERROR(INDEX(UNSPSCDes,MATCH(INDIRECT(ADDRESS(ROW(),COLUMN()-1,4)),UNSPSCCode,0)),IF(INDIRECT(ADDRESS(ROW(),COLUMN()-1,4))="40142613","Conectores de tubo",""))</f>
        <v>Conectores de tubo</v>
      </c>
      <c r="C300" s="65" t="str">
        <f>IFERROR(VLOOKUP("UD",'Informacion '!P:Q,2,FALSE),"")</f>
        <v>Unidad</v>
      </c>
      <c r="D300" s="64">
        <v>6</v>
      </c>
      <c r="E300" s="55">
        <v>190</v>
      </c>
      <c r="F300" s="54">
        <f t="shared" ca="1" si="6"/>
        <v>1140</v>
      </c>
    </row>
    <row r="301" spans="1:6" ht="14.1" customHeight="1" x14ac:dyDescent="0.25">
      <c r="A301" s="64" t="s">
        <v>97</v>
      </c>
      <c r="B301" s="53" t="str">
        <f ca="1">IFERROR(INDEX(UNSPSCDes,MATCH(INDIRECT(ADDRESS(ROW(),COLUMN()-1,4)),UNSPSCCode,0)),IF(INDIRECT(ADDRESS(ROW(),COLUMN()-1,4))="39121303","Cajas eléctricas",""))</f>
        <v>Cajas eléctricas</v>
      </c>
      <c r="C301" s="65" t="str">
        <f>IFERROR(VLOOKUP("UD",'Informacion '!P:Q,2,FALSE),"")</f>
        <v>Unidad</v>
      </c>
      <c r="D301" s="64">
        <v>25</v>
      </c>
      <c r="E301" s="55">
        <v>55</v>
      </c>
      <c r="F301" s="54">
        <f t="shared" ca="1" si="6"/>
        <v>1375</v>
      </c>
    </row>
    <row r="302" spans="1:6" ht="14.1" customHeight="1" x14ac:dyDescent="0.25">
      <c r="A302" s="64" t="s">
        <v>427</v>
      </c>
      <c r="B302" s="53" t="str">
        <f ca="1">IFERROR(INDEX(UNSPSCDes,MATCH(INDIRECT(ADDRESS(ROW(),COLUMN()-1,4)),UNSPSCCode,0)),IF(INDIRECT(ADDRESS(ROW(),COLUMN()-1,4))="39121205","Canaletas para cables",""))</f>
        <v>Canaletas para cables</v>
      </c>
      <c r="C302" s="65" t="str">
        <f>IFERROR(VLOOKUP("UD",'Informacion '!P:Q,2,FALSE),"")</f>
        <v>Unidad</v>
      </c>
      <c r="D302" s="64">
        <v>10</v>
      </c>
      <c r="E302" s="55">
        <v>110</v>
      </c>
      <c r="F302" s="54">
        <f t="shared" ca="1" si="6"/>
        <v>1100</v>
      </c>
    </row>
    <row r="303" spans="1:6" ht="14.1" customHeight="1" x14ac:dyDescent="0.25">
      <c r="A303" s="64" t="s">
        <v>631</v>
      </c>
      <c r="B303" s="53" t="str">
        <f ca="1">IFERROR(INDEX(UNSPSCDes,MATCH(INDIRECT(ADDRESS(ROW(),COLUMN()-1,4)),UNSPSCCode,0)),IF(INDIRECT(ADDRESS(ROW(),COLUMN()-1,4))="40151601","Compresores de aire",""))</f>
        <v>Compresores de aire</v>
      </c>
      <c r="C303" s="65" t="str">
        <f>IFERROR(VLOOKUP("UD",'Informacion '!P:Q,2,FALSE),"")</f>
        <v>Unidad</v>
      </c>
      <c r="D303" s="64">
        <v>1</v>
      </c>
      <c r="E303" s="55">
        <v>9500</v>
      </c>
      <c r="F303" s="54">
        <f t="shared" ca="1" si="6"/>
        <v>9500</v>
      </c>
    </row>
    <row r="304" spans="1:6" ht="14.1" customHeight="1" x14ac:dyDescent="0.25">
      <c r="A304" s="64" t="s">
        <v>509</v>
      </c>
      <c r="B304" s="53" t="str">
        <f ca="1">IFERROR(INDEX(UNSPSCDes,MATCH(INDIRECT(ADDRESS(ROW(),COLUMN()-1,4)),UNSPSCCode,0)),IF(INDIRECT(ADDRESS(ROW(),COLUMN()-1,4))="40142002","Mangueras de aire",""))</f>
        <v>Mangueras de aire</v>
      </c>
      <c r="C304" s="65" t="str">
        <f>IFERROR(VLOOKUP("UD",'Informacion '!P:Q,2,FALSE),"")</f>
        <v>Unidad</v>
      </c>
      <c r="D304" s="64">
        <v>1</v>
      </c>
      <c r="E304" s="55">
        <v>800</v>
      </c>
      <c r="F304" s="54">
        <f t="shared" ca="1" si="6"/>
        <v>800</v>
      </c>
    </row>
    <row r="305" spans="1:9" ht="14.1" customHeight="1" x14ac:dyDescent="0.25">
      <c r="A305" s="64" t="s">
        <v>802</v>
      </c>
      <c r="B305" s="53" t="str">
        <f ca="1">IFERROR(INDEX(UNSPSCDes,MATCH(INDIRECT(ADDRESS(ROW(),COLUMN()-1,4)),UNSPSCCode,0)),IF(INDIRECT(ADDRESS(ROW(),COLUMN()-1,4))="27111801","Cintas métricas",""))</f>
        <v>Cintas métricas</v>
      </c>
      <c r="C305" s="65" t="str">
        <f>IFERROR(VLOOKUP("UD",'Informacion '!P:Q,2,FALSE),"")</f>
        <v>Unidad</v>
      </c>
      <c r="D305" s="64">
        <v>2</v>
      </c>
      <c r="E305" s="55">
        <v>600</v>
      </c>
      <c r="F305" s="54">
        <f t="shared" ca="1" si="6"/>
        <v>1200</v>
      </c>
    </row>
    <row r="306" spans="1:9" ht="14.1" customHeight="1" x14ac:dyDescent="0.25">
      <c r="A306" s="64" t="s">
        <v>802</v>
      </c>
      <c r="B306" s="53" t="str">
        <f ca="1">IFERROR(INDEX(UNSPSCDes,MATCH(INDIRECT(ADDRESS(ROW(),COLUMN()-1,4)),UNSPSCCode,0)),IF(INDIRECT(ADDRESS(ROW(),COLUMN()-1,4))="27111801","Cintas métricas",""))</f>
        <v>Cintas métricas</v>
      </c>
      <c r="C306" s="65" t="str">
        <f>IFERROR(VLOOKUP("UD",'Informacion '!P:Q,2,FALSE),"")</f>
        <v>Unidad</v>
      </c>
      <c r="D306" s="64">
        <v>2</v>
      </c>
      <c r="E306" s="55">
        <v>1200</v>
      </c>
      <c r="F306" s="54">
        <f t="shared" ca="1" si="6"/>
        <v>2400</v>
      </c>
    </row>
    <row r="307" spans="1:9" ht="14.1" customHeight="1" x14ac:dyDescent="0.25">
      <c r="E307" s="66" t="s">
        <v>581</v>
      </c>
      <c r="F307" s="58">
        <f ca="1">SUM(Table11[MONTO TOTAL ESTIMADO])</f>
        <v>416724</v>
      </c>
      <c r="G307" s="26" t="str">
        <f>C167</f>
        <v>Bienes</v>
      </c>
      <c r="H307" s="26" t="str">
        <f>E167</f>
        <v>No</v>
      </c>
      <c r="I307" s="26" t="str">
        <f>D167</f>
        <v>Compras Menores</v>
      </c>
    </row>
    <row r="309" spans="1:9" ht="33.950000000000003" customHeight="1" x14ac:dyDescent="0.25">
      <c r="A309" s="48" t="s">
        <v>745</v>
      </c>
      <c r="B309" s="48" t="s">
        <v>7</v>
      </c>
      <c r="C309" s="48" t="s">
        <v>533</v>
      </c>
      <c r="D309" s="48" t="s">
        <v>668</v>
      </c>
      <c r="E309" s="48" t="s">
        <v>495</v>
      </c>
      <c r="F309" s="48" t="s">
        <v>506</v>
      </c>
    </row>
    <row r="310" spans="1:9" ht="14.1" customHeight="1" x14ac:dyDescent="0.25">
      <c r="A310" s="50" t="s">
        <v>364</v>
      </c>
      <c r="B310" s="50" t="s">
        <v>146</v>
      </c>
      <c r="C310" s="50" t="s">
        <v>298</v>
      </c>
      <c r="D310" s="50" t="s">
        <v>74</v>
      </c>
      <c r="E310" s="50" t="s">
        <v>392</v>
      </c>
      <c r="F310" s="50" t="s">
        <v>296</v>
      </c>
    </row>
    <row r="311" spans="1:9" ht="14.1" customHeight="1" x14ac:dyDescent="0.25">
      <c r="A311" s="67" t="s">
        <v>688</v>
      </c>
      <c r="B311" s="51" t="s">
        <v>372</v>
      </c>
      <c r="C311" s="60">
        <v>43990</v>
      </c>
      <c r="D311" s="67" t="s">
        <v>418</v>
      </c>
      <c r="E311" s="62" t="s">
        <v>613</v>
      </c>
      <c r="F311" s="63" t="s">
        <v>122</v>
      </c>
    </row>
    <row r="312" spans="1:9" ht="14.1" customHeight="1" x14ac:dyDescent="0.25">
      <c r="A312" s="68"/>
      <c r="B312" s="51" t="s">
        <v>72</v>
      </c>
      <c r="C312" s="61">
        <f>IF(C311="","",IF(AND(MONTH(C311)&gt;=1,MONTH(C311)&lt;=3),1,IF(AND(MONTH(C311)&gt;=4,MONTH(C311)&lt;=6),2,IF(AND(MONTH(C311)&gt;=7,MONTH(C311)&lt;=9),3,4))))</f>
        <v>2</v>
      </c>
      <c r="D312" s="68"/>
      <c r="E312" s="62" t="s">
        <v>91</v>
      </c>
      <c r="F312" s="63" t="s">
        <v>670</v>
      </c>
    </row>
    <row r="313" spans="1:9" ht="14.1" customHeight="1" x14ac:dyDescent="0.25">
      <c r="A313" s="68"/>
      <c r="B313" s="51" t="s">
        <v>602</v>
      </c>
      <c r="C313" s="60">
        <v>43998</v>
      </c>
      <c r="D313" s="68"/>
      <c r="E313" s="62" t="s">
        <v>121</v>
      </c>
      <c r="F313" s="63" t="s">
        <v>195</v>
      </c>
    </row>
    <row r="314" spans="1:9" ht="14.1" customHeight="1" x14ac:dyDescent="0.25">
      <c r="A314" s="68"/>
      <c r="B314" s="51" t="s">
        <v>72</v>
      </c>
      <c r="C314" s="61">
        <f>IF(C313="","",IF(AND(MONTH(C313)&gt;=1,MONTH(C313)&lt;=3),1,IF(AND(MONTH(C313)&gt;=4,MONTH(C313)&lt;=6),2,IF(AND(MONTH(C313)&gt;=7,MONTH(C313)&lt;=9),3,4))))</f>
        <v>2</v>
      </c>
      <c r="D314" s="68"/>
      <c r="E314" s="62" t="s">
        <v>618</v>
      </c>
      <c r="F314" s="63"/>
    </row>
    <row r="316" spans="1:9" ht="14.1" customHeight="1" x14ac:dyDescent="0.25">
      <c r="A316" s="56" t="s">
        <v>724</v>
      </c>
      <c r="B316" s="56" t="s">
        <v>736</v>
      </c>
      <c r="C316" s="56" t="s">
        <v>718</v>
      </c>
      <c r="D316" s="56" t="s">
        <v>701</v>
      </c>
      <c r="E316" s="56" t="s">
        <v>308</v>
      </c>
      <c r="F316" s="56" t="s">
        <v>703</v>
      </c>
    </row>
    <row r="317" spans="1:9" ht="14.1" customHeight="1" x14ac:dyDescent="0.25">
      <c r="A317" s="64" t="s">
        <v>534</v>
      </c>
      <c r="B317" s="53" t="str">
        <f ca="1">IFERROR(INDEX(UNSPSCDes,MATCH(INDIRECT(ADDRESS(ROW(),COLUMN()-1,4)),UNSPSCCode,0)),IF(INDIRECT(ADDRESS(ROW(),COLUMN()-1,4))="30201708","Auditorio",""))</f>
        <v>Auditorio</v>
      </c>
      <c r="C317" s="65" t="str">
        <f>IFERROR(VLOOKUP("UD",'Informacion '!P:Q,2,FALSE),"")</f>
        <v>Unidad</v>
      </c>
      <c r="D317" s="64">
        <v>1</v>
      </c>
      <c r="E317" s="55">
        <v>1500000</v>
      </c>
      <c r="F317" s="54">
        <f ca="1">INDIRECT(ADDRESS(ROW(),COLUMN()-2,4))*INDIRECT(ADDRESS(ROW(),COLUMN()-1,4))</f>
        <v>1500000</v>
      </c>
    </row>
    <row r="318" spans="1:9" ht="14.1" customHeight="1" x14ac:dyDescent="0.25">
      <c r="E318" s="66" t="s">
        <v>581</v>
      </c>
      <c r="F318" s="58">
        <f ca="1">SUM(Table12[MONTO TOTAL ESTIMADO])</f>
        <v>1500000</v>
      </c>
      <c r="G318" s="26" t="str">
        <f>C310</f>
        <v>Servicios</v>
      </c>
      <c r="H318" s="26" t="str">
        <f>E310</f>
        <v>Sí</v>
      </c>
      <c r="I318" s="26" t="str">
        <f>D310</f>
        <v>Comparacion de Precios</v>
      </c>
    </row>
    <row r="320" spans="1:9" ht="33.950000000000003" customHeight="1" x14ac:dyDescent="0.25">
      <c r="A320" s="48" t="s">
        <v>745</v>
      </c>
      <c r="B320" s="48" t="s">
        <v>7</v>
      </c>
      <c r="C320" s="48" t="s">
        <v>533</v>
      </c>
      <c r="D320" s="48" t="s">
        <v>668</v>
      </c>
      <c r="E320" s="48" t="s">
        <v>495</v>
      </c>
      <c r="F320" s="48" t="s">
        <v>506</v>
      </c>
    </row>
    <row r="321" spans="1:9" ht="14.1" customHeight="1" x14ac:dyDescent="0.25">
      <c r="A321" s="50" t="s">
        <v>604</v>
      </c>
      <c r="B321" s="50" t="s">
        <v>449</v>
      </c>
      <c r="C321" s="50" t="s">
        <v>809</v>
      </c>
      <c r="D321" s="50" t="s">
        <v>74</v>
      </c>
      <c r="E321" s="50" t="s">
        <v>810</v>
      </c>
      <c r="F321" s="50" t="s">
        <v>296</v>
      </c>
    </row>
    <row r="322" spans="1:9" ht="14.1" customHeight="1" x14ac:dyDescent="0.25">
      <c r="A322" s="67" t="s">
        <v>688</v>
      </c>
      <c r="B322" s="51" t="s">
        <v>372</v>
      </c>
      <c r="C322" s="60">
        <v>44019</v>
      </c>
      <c r="D322" s="67" t="s">
        <v>418</v>
      </c>
      <c r="E322" s="62" t="s">
        <v>613</v>
      </c>
      <c r="F322" s="63" t="s">
        <v>122</v>
      </c>
    </row>
    <row r="323" spans="1:9" ht="14.1" customHeight="1" x14ac:dyDescent="0.25">
      <c r="A323" s="68"/>
      <c r="B323" s="51" t="s">
        <v>72</v>
      </c>
      <c r="C323" s="61">
        <f>IF(C322="","",IF(AND(MONTH(C322)&gt;=1,MONTH(C322)&lt;=3),1,IF(AND(MONTH(C322)&gt;=4,MONTH(C322)&lt;=6),2,IF(AND(MONTH(C322)&gt;=7,MONTH(C322)&lt;=9),3,4))))</f>
        <v>3</v>
      </c>
      <c r="D323" s="68"/>
      <c r="E323" s="62" t="s">
        <v>91</v>
      </c>
      <c r="F323" s="63" t="s">
        <v>670</v>
      </c>
    </row>
    <row r="324" spans="1:9" ht="14.1" customHeight="1" x14ac:dyDescent="0.25">
      <c r="A324" s="68"/>
      <c r="B324" s="51" t="s">
        <v>602</v>
      </c>
      <c r="C324" s="60">
        <v>44026</v>
      </c>
      <c r="D324" s="68"/>
      <c r="E324" s="62" t="s">
        <v>121</v>
      </c>
      <c r="F324" s="63" t="s">
        <v>195</v>
      </c>
    </row>
    <row r="325" spans="1:9" ht="14.1" customHeight="1" x14ac:dyDescent="0.25">
      <c r="A325" s="68"/>
      <c r="B325" s="51" t="s">
        <v>72</v>
      </c>
      <c r="C325" s="61">
        <f>IF(C324="","",IF(AND(MONTH(C324)&gt;=1,MONTH(C324)&lt;=3),1,IF(AND(MONTH(C324)&gt;=4,MONTH(C324)&lt;=6),2,IF(AND(MONTH(C324)&gt;=7,MONTH(C324)&lt;=9),3,4))))</f>
        <v>3</v>
      </c>
      <c r="D325" s="68"/>
      <c r="E325" s="62" t="s">
        <v>618</v>
      </c>
      <c r="F325" s="63"/>
    </row>
    <row r="327" spans="1:9" ht="14.1" customHeight="1" x14ac:dyDescent="0.25">
      <c r="A327" s="56" t="s">
        <v>724</v>
      </c>
      <c r="B327" s="56" t="s">
        <v>736</v>
      </c>
      <c r="C327" s="56" t="s">
        <v>718</v>
      </c>
      <c r="D327" s="56" t="s">
        <v>701</v>
      </c>
      <c r="E327" s="56" t="s">
        <v>308</v>
      </c>
      <c r="F327" s="56" t="s">
        <v>703</v>
      </c>
    </row>
    <row r="328" spans="1:9" ht="14.1" customHeight="1" x14ac:dyDescent="0.25">
      <c r="A328" s="64" t="s">
        <v>128</v>
      </c>
      <c r="B328" s="53" t="str">
        <f ca="1">IFERROR(INDEX(UNSPSCDes,MATCH(INDIRECT(ADDRESS(ROW(),COLUMN()-1,4)),UNSPSCCode,0)),IF(INDIRECT(ADDRESS(ROW(),COLUMN()-1,4))="46171610","Cámaras de seguridad",""))</f>
        <v>Cámaras de seguridad</v>
      </c>
      <c r="C328" s="65" t="str">
        <f>IFERROR(VLOOKUP("UD",'Informacion '!P:Q,2,FALSE),"")</f>
        <v>Unidad</v>
      </c>
      <c r="D328" s="64">
        <v>30</v>
      </c>
      <c r="E328" s="55">
        <v>19500</v>
      </c>
      <c r="F328" s="54">
        <f ca="1">INDIRECT(ADDRESS(ROW(),COLUMN()-2,4))*INDIRECT(ADDRESS(ROW(),COLUMN()-1,4))</f>
        <v>585000</v>
      </c>
    </row>
    <row r="329" spans="1:9" ht="14.1" customHeight="1" x14ac:dyDescent="0.25">
      <c r="A329" s="64" t="s">
        <v>77</v>
      </c>
      <c r="B329" s="53" t="str">
        <f ca="1">IFERROR(INDEX(UNSPSCDes,MATCH(INDIRECT(ADDRESS(ROW(),COLUMN()-1,4)),UNSPSCCode,0)),IF(INDIRECT(ADDRESS(ROW(),COLUMN()-1,4))="45121512","Cámaras para debajo del agua",""))</f>
        <v>Cámaras para debajo del agua</v>
      </c>
      <c r="C329" s="65" t="str">
        <f>IFERROR(VLOOKUP("UD",'Informacion '!P:Q,2,FALSE),"")</f>
        <v>Unidad</v>
      </c>
      <c r="D329" s="64">
        <v>2</v>
      </c>
      <c r="E329" s="55">
        <v>25000</v>
      </c>
      <c r="F329" s="54">
        <f ca="1">INDIRECT(ADDRESS(ROW(),COLUMN()-2,4))*INDIRECT(ADDRESS(ROW(),COLUMN()-1,4))</f>
        <v>50000</v>
      </c>
    </row>
    <row r="330" spans="1:9" ht="14.1" customHeight="1" x14ac:dyDescent="0.25">
      <c r="A330" s="64" t="s">
        <v>426</v>
      </c>
      <c r="B330" s="53" t="str">
        <f ca="1">IFERROR(INDEX(UNSPSCDes,MATCH(INDIRECT(ADDRESS(ROW(),COLUMN()-1,4)),UNSPSCCode,0)),IF(INDIRECT(ADDRESS(ROW(),COLUMN()-1,4))="45121516","Cámaras grabadoras o video cámaras digitales",""))</f>
        <v>Cámaras grabadoras o video cámaras digitales</v>
      </c>
      <c r="C330" s="65" t="str">
        <f>IFERROR(VLOOKUP("UD",'Informacion '!P:Q,2,FALSE),"")</f>
        <v>Unidad</v>
      </c>
      <c r="D330" s="64">
        <v>2</v>
      </c>
      <c r="E330" s="55">
        <v>36000</v>
      </c>
      <c r="F330" s="54">
        <f ca="1">INDIRECT(ADDRESS(ROW(),COLUMN()-2,4))*INDIRECT(ADDRESS(ROW(),COLUMN()-1,4))</f>
        <v>72000</v>
      </c>
    </row>
    <row r="331" spans="1:9" ht="14.1" customHeight="1" x14ac:dyDescent="0.25">
      <c r="A331" s="64" t="s">
        <v>825</v>
      </c>
      <c r="B331" s="53" t="str">
        <f ca="1">IFERROR(INDEX(UNSPSCDes,MATCH(INDIRECT(ADDRESS(ROW(),COLUMN()-1,4)),UNSPSCCode,0)),IF(INDIRECT(ADDRESS(ROW(),COLUMN()-1,4))="41113715","Probadores de redes digitales de servicios integrados isdn",""))</f>
        <v>Probadores de redes digitales de servicios integrados isdn</v>
      </c>
      <c r="C331" s="65" t="str">
        <f>IFERROR(VLOOKUP("UD",'Informacion '!P:Q,2,FALSE),"")</f>
        <v>Unidad</v>
      </c>
      <c r="D331" s="64">
        <v>1</v>
      </c>
      <c r="E331" s="55">
        <v>93000</v>
      </c>
      <c r="F331" s="54">
        <f ca="1">INDIRECT(ADDRESS(ROW(),COLUMN()-2,4))*INDIRECT(ADDRESS(ROW(),COLUMN()-1,4))</f>
        <v>93000</v>
      </c>
    </row>
    <row r="332" spans="1:9" ht="14.1" customHeight="1" x14ac:dyDescent="0.25">
      <c r="E332" s="66" t="s">
        <v>581</v>
      </c>
      <c r="F332" s="58">
        <f ca="1">SUM(Table13[MONTO TOTAL ESTIMADO])</f>
        <v>800000</v>
      </c>
      <c r="G332" s="26" t="str">
        <f>C321</f>
        <v>Bienes</v>
      </c>
      <c r="H332" s="26" t="str">
        <f>E321</f>
        <v>No</v>
      </c>
      <c r="I332" s="26" t="str">
        <f>D321</f>
        <v>Comparacion de Precios</v>
      </c>
    </row>
    <row r="334" spans="1:9" ht="33.950000000000003" customHeight="1" x14ac:dyDescent="0.25">
      <c r="A334" s="48" t="s">
        <v>745</v>
      </c>
      <c r="B334" s="48" t="s">
        <v>7</v>
      </c>
      <c r="C334" s="48" t="s">
        <v>533</v>
      </c>
      <c r="D334" s="48" t="s">
        <v>668</v>
      </c>
      <c r="E334" s="48" t="s">
        <v>495</v>
      </c>
      <c r="F334" s="48" t="s">
        <v>506</v>
      </c>
    </row>
    <row r="335" spans="1:9" ht="14.1" customHeight="1" x14ac:dyDescent="0.25">
      <c r="A335" s="50" t="s">
        <v>297</v>
      </c>
      <c r="B335" s="50" t="s">
        <v>580</v>
      </c>
      <c r="C335" s="50" t="s">
        <v>809</v>
      </c>
      <c r="D335" s="50" t="s">
        <v>74</v>
      </c>
      <c r="E335" s="50" t="s">
        <v>810</v>
      </c>
      <c r="F335" s="50"/>
    </row>
    <row r="336" spans="1:9" ht="14.1" customHeight="1" x14ac:dyDescent="0.25">
      <c r="A336" s="67" t="s">
        <v>688</v>
      </c>
      <c r="B336" s="51" t="s">
        <v>372</v>
      </c>
      <c r="C336" s="60">
        <v>43865</v>
      </c>
      <c r="D336" s="67" t="s">
        <v>418</v>
      </c>
      <c r="E336" s="62" t="s">
        <v>613</v>
      </c>
      <c r="F336" s="63" t="s">
        <v>122</v>
      </c>
    </row>
    <row r="337" spans="1:9" ht="14.1" customHeight="1" x14ac:dyDescent="0.25">
      <c r="A337" s="68"/>
      <c r="B337" s="51" t="s">
        <v>72</v>
      </c>
      <c r="C337" s="61">
        <f>IF(C336="","",IF(AND(MONTH(C336)&gt;=1,MONTH(C336)&lt;=3),1,IF(AND(MONTH(C336)&gt;=4,MONTH(C336)&lt;=6),2,IF(AND(MONTH(C336)&gt;=7,MONTH(C336)&lt;=9),3,4))))</f>
        <v>1</v>
      </c>
      <c r="D337" s="68"/>
      <c r="E337" s="62" t="s">
        <v>91</v>
      </c>
      <c r="F337" s="63" t="s">
        <v>670</v>
      </c>
    </row>
    <row r="338" spans="1:9" ht="14.1" customHeight="1" x14ac:dyDescent="0.25">
      <c r="A338" s="68"/>
      <c r="B338" s="51" t="s">
        <v>602</v>
      </c>
      <c r="C338" s="60">
        <v>43878</v>
      </c>
      <c r="D338" s="68"/>
      <c r="E338" s="62" t="s">
        <v>121</v>
      </c>
      <c r="F338" s="63" t="s">
        <v>195</v>
      </c>
    </row>
    <row r="339" spans="1:9" ht="14.1" customHeight="1" x14ac:dyDescent="0.25">
      <c r="A339" s="68"/>
      <c r="B339" s="51" t="s">
        <v>72</v>
      </c>
      <c r="C339" s="61">
        <f>IF(C338="","",IF(AND(MONTH(C338)&gt;=1,MONTH(C338)&lt;=3),1,IF(AND(MONTH(C338)&gt;=4,MONTH(C338)&lt;=6),2,IF(AND(MONTH(C338)&gt;=7,MONTH(C338)&lt;=9),3,4))))</f>
        <v>1</v>
      </c>
      <c r="D339" s="68"/>
      <c r="E339" s="62" t="s">
        <v>618</v>
      </c>
      <c r="F339" s="63"/>
    </row>
    <row r="341" spans="1:9" ht="14.1" customHeight="1" x14ac:dyDescent="0.25">
      <c r="A341" s="56" t="s">
        <v>724</v>
      </c>
      <c r="B341" s="56" t="s">
        <v>736</v>
      </c>
      <c r="C341" s="56" t="s">
        <v>718</v>
      </c>
      <c r="D341" s="56" t="s">
        <v>701</v>
      </c>
      <c r="E341" s="56" t="s">
        <v>308</v>
      </c>
      <c r="F341" s="56" t="s">
        <v>703</v>
      </c>
    </row>
    <row r="342" spans="1:9" ht="14.1" customHeight="1" x14ac:dyDescent="0.25">
      <c r="A342" s="64" t="s">
        <v>194</v>
      </c>
      <c r="B342" s="53" t="str">
        <f ca="1">IFERROR(INDEX(UNSPSCDes,MATCH(INDIRECT(ADDRESS(ROW(),COLUMN()-1,4)),UNSPSCCode,0)),IF(INDIRECT(ADDRESS(ROW(),COLUMN()-1,4))="15101505","Combustible diesel",""))</f>
        <v>Combustible diesel</v>
      </c>
      <c r="C342" s="65" t="str">
        <f>IFERROR(VLOOKUP("GAL",'Informacion '!P:Q,2,FALSE),"")</f>
        <v>Galón</v>
      </c>
      <c r="D342" s="64">
        <v>4000</v>
      </c>
      <c r="E342" s="55">
        <v>200</v>
      </c>
      <c r="F342" s="54">
        <f ca="1">INDIRECT(ADDRESS(ROW(),COLUMN()-2,4))*INDIRECT(ADDRESS(ROW(),COLUMN()-1,4))</f>
        <v>800000</v>
      </c>
    </row>
    <row r="343" spans="1:9" ht="14.1" customHeight="1" x14ac:dyDescent="0.25">
      <c r="A343" s="64" t="s">
        <v>589</v>
      </c>
      <c r="B343" s="53" t="str">
        <f ca="1">IFERROR(INDEX(UNSPSCDes,MATCH(INDIRECT(ADDRESS(ROW(),COLUMN()-1,4)),UNSPSCCode,0)),IF(INDIRECT(ADDRESS(ROW(),COLUMN()-1,4))="15101506","Gasolina",""))</f>
        <v>Gasolina</v>
      </c>
      <c r="C343" s="65" t="str">
        <f>IFERROR(VLOOKUP("UD",'Informacion '!P:Q,2,FALSE),"")</f>
        <v>Unidad</v>
      </c>
      <c r="D343" s="64">
        <v>1000</v>
      </c>
      <c r="E343" s="55">
        <v>300</v>
      </c>
      <c r="F343" s="54">
        <f ca="1">INDIRECT(ADDRESS(ROW(),COLUMN()-2,4))*INDIRECT(ADDRESS(ROW(),COLUMN()-1,4))</f>
        <v>300000</v>
      </c>
    </row>
    <row r="344" spans="1:9" ht="14.1" customHeight="1" x14ac:dyDescent="0.25">
      <c r="A344" s="64" t="s">
        <v>589</v>
      </c>
      <c r="B344" s="53" t="str">
        <f ca="1">IFERROR(INDEX(UNSPSCDes,MATCH(INDIRECT(ADDRESS(ROW(),COLUMN()-1,4)),UNSPSCCode,0)),IF(INDIRECT(ADDRESS(ROW(),COLUMN()-1,4))="15101506","Gasolina",""))</f>
        <v>Gasolina</v>
      </c>
      <c r="C344" s="65" t="str">
        <f>IFERROR(VLOOKUP("UD",'Informacion '!P:Q,2,FALSE),"")</f>
        <v>Unidad</v>
      </c>
      <c r="D344" s="64">
        <v>1000</v>
      </c>
      <c r="E344" s="55">
        <v>500</v>
      </c>
      <c r="F344" s="54">
        <f ca="1">INDIRECT(ADDRESS(ROW(),COLUMN()-2,4))*INDIRECT(ADDRESS(ROW(),COLUMN()-1,4))</f>
        <v>500000</v>
      </c>
    </row>
    <row r="345" spans="1:9" ht="14.1" customHeight="1" x14ac:dyDescent="0.25">
      <c r="A345" s="64" t="s">
        <v>589</v>
      </c>
      <c r="B345" s="53" t="str">
        <f ca="1">IFERROR(INDEX(UNSPSCDes,MATCH(INDIRECT(ADDRESS(ROW(),COLUMN()-1,4)),UNSPSCCode,0)),IF(INDIRECT(ADDRESS(ROW(),COLUMN()-1,4))="15101506","Gasolina",""))</f>
        <v>Gasolina</v>
      </c>
      <c r="C345" s="65" t="str">
        <f>IFERROR(VLOOKUP("UD",'Informacion '!P:Q,2,FALSE),"")</f>
        <v>Unidad</v>
      </c>
      <c r="D345" s="64">
        <v>1000</v>
      </c>
      <c r="E345" s="55">
        <v>200</v>
      </c>
      <c r="F345" s="54">
        <f ca="1">INDIRECT(ADDRESS(ROW(),COLUMN()-2,4))*INDIRECT(ADDRESS(ROW(),COLUMN()-1,4))</f>
        <v>200000</v>
      </c>
    </row>
    <row r="346" spans="1:9" ht="14.1" customHeight="1" x14ac:dyDescent="0.25">
      <c r="E346" s="66" t="s">
        <v>581</v>
      </c>
      <c r="F346" s="58">
        <f ca="1">SUM(Table14[MONTO TOTAL ESTIMADO])</f>
        <v>1800000</v>
      </c>
      <c r="G346" s="26" t="str">
        <f>C335</f>
        <v>Bienes</v>
      </c>
      <c r="H346" s="26" t="str">
        <f>E335</f>
        <v>No</v>
      </c>
      <c r="I346" s="26" t="str">
        <f>D335</f>
        <v>Comparacion de Precios</v>
      </c>
    </row>
    <row r="348" spans="1:9" ht="33.950000000000003" customHeight="1" x14ac:dyDescent="0.25">
      <c r="A348" s="48" t="s">
        <v>745</v>
      </c>
      <c r="B348" s="48" t="s">
        <v>7</v>
      </c>
      <c r="C348" s="48" t="s">
        <v>533</v>
      </c>
      <c r="D348" s="48" t="s">
        <v>668</v>
      </c>
      <c r="E348" s="48" t="s">
        <v>495</v>
      </c>
      <c r="F348" s="48" t="s">
        <v>506</v>
      </c>
    </row>
    <row r="349" spans="1:9" ht="14.1" customHeight="1" x14ac:dyDescent="0.25">
      <c r="A349" s="50" t="s">
        <v>37</v>
      </c>
      <c r="B349" s="50" t="s">
        <v>856</v>
      </c>
      <c r="C349" s="50" t="s">
        <v>298</v>
      </c>
      <c r="D349" s="50" t="s">
        <v>792</v>
      </c>
      <c r="E349" s="50" t="s">
        <v>810</v>
      </c>
      <c r="F349" s="50" t="s">
        <v>296</v>
      </c>
    </row>
    <row r="350" spans="1:9" ht="14.1" customHeight="1" x14ac:dyDescent="0.25">
      <c r="A350" s="67" t="s">
        <v>688</v>
      </c>
      <c r="B350" s="51" t="s">
        <v>372</v>
      </c>
      <c r="C350" s="60">
        <v>43934</v>
      </c>
      <c r="D350" s="67" t="s">
        <v>418</v>
      </c>
      <c r="E350" s="62" t="s">
        <v>613</v>
      </c>
      <c r="F350" s="63" t="s">
        <v>122</v>
      </c>
    </row>
    <row r="351" spans="1:9" ht="14.1" customHeight="1" x14ac:dyDescent="0.25">
      <c r="A351" s="68"/>
      <c r="B351" s="51" t="s">
        <v>72</v>
      </c>
      <c r="C351" s="61">
        <f>IF(C350="","",IF(AND(MONTH(C350)&gt;=1,MONTH(C350)&lt;=3),1,IF(AND(MONTH(C350)&gt;=4,MONTH(C350)&lt;=6),2,IF(AND(MONTH(C350)&gt;=7,MONTH(C350)&lt;=9),3,4))))</f>
        <v>2</v>
      </c>
      <c r="D351" s="68"/>
      <c r="E351" s="62" t="s">
        <v>91</v>
      </c>
      <c r="F351" s="63" t="s">
        <v>670</v>
      </c>
    </row>
    <row r="352" spans="1:9" ht="14.1" customHeight="1" x14ac:dyDescent="0.25">
      <c r="A352" s="68"/>
      <c r="B352" s="51" t="s">
        <v>602</v>
      </c>
      <c r="C352" s="60">
        <v>43937</v>
      </c>
      <c r="D352" s="68"/>
      <c r="E352" s="62" t="s">
        <v>121</v>
      </c>
      <c r="F352" s="63"/>
    </row>
    <row r="353" spans="1:9" ht="14.1" customHeight="1" x14ac:dyDescent="0.25">
      <c r="A353" s="68"/>
      <c r="B353" s="51" t="s">
        <v>72</v>
      </c>
      <c r="C353" s="61">
        <f>IF(C352="","",IF(AND(MONTH(C352)&gt;=1,MONTH(C352)&lt;=3),1,IF(AND(MONTH(C352)&gt;=4,MONTH(C352)&lt;=6),2,IF(AND(MONTH(C352)&gt;=7,MONTH(C352)&lt;=9),3,4))))</f>
        <v>2</v>
      </c>
      <c r="D353" s="68"/>
      <c r="E353" s="62" t="s">
        <v>618</v>
      </c>
      <c r="F353" s="63"/>
    </row>
    <row r="355" spans="1:9" ht="14.1" customHeight="1" x14ac:dyDescent="0.25">
      <c r="A355" s="56" t="s">
        <v>724</v>
      </c>
      <c r="B355" s="56" t="s">
        <v>736</v>
      </c>
      <c r="C355" s="56" t="s">
        <v>718</v>
      </c>
      <c r="D355" s="56" t="s">
        <v>701</v>
      </c>
      <c r="E355" s="56" t="s">
        <v>308</v>
      </c>
      <c r="F355" s="56" t="s">
        <v>703</v>
      </c>
    </row>
    <row r="356" spans="1:9" ht="14.1" customHeight="1" x14ac:dyDescent="0.25">
      <c r="A356" s="64" t="s">
        <v>671</v>
      </c>
      <c r="B356" s="53" t="str">
        <f ca="1">IFERROR(INDEX(UNSPSCDes,MATCH(INDIRECT(ADDRESS(ROW(),COLUMN()-1,4)),UNSPSCCode,0)),IF(INDIRECT(ADDRESS(ROW(),COLUMN()-1,4))="26101513","Kit de reparación de motores",""))</f>
        <v>Kit de reparación de motores</v>
      </c>
      <c r="C356" s="65" t="str">
        <f>IFERROR(VLOOKUP("UD",'Informacion '!P:Q,2,FALSE),"")</f>
        <v>Unidad</v>
      </c>
      <c r="D356" s="64">
        <v>1</v>
      </c>
      <c r="E356" s="55">
        <v>150000</v>
      </c>
      <c r="F356" s="54">
        <f ca="1">INDIRECT(ADDRESS(ROW(),COLUMN()-2,4))*INDIRECT(ADDRESS(ROW(),COLUMN()-1,4))</f>
        <v>150000</v>
      </c>
    </row>
    <row r="357" spans="1:9" ht="14.1" customHeight="1" x14ac:dyDescent="0.25">
      <c r="A357" s="64" t="s">
        <v>503</v>
      </c>
      <c r="B357" s="53" t="str">
        <f ca="1">IFERROR(INDEX(UNSPSCDes,MATCH(INDIRECT(ADDRESS(ROW(),COLUMN()-1,4)),UNSPSCCode,0)),IF(INDIRECT(ADDRESS(ROW(),COLUMN()-1,4))="24101620","Camión grúas",""))</f>
        <v>Camión grúas</v>
      </c>
      <c r="C357" s="65" t="str">
        <f>IFERROR(VLOOKUP("UD",'Informacion '!P:Q,2,FALSE),"")</f>
        <v>Unidad</v>
      </c>
      <c r="D357" s="64">
        <v>1</v>
      </c>
      <c r="E357" s="55">
        <v>150000</v>
      </c>
      <c r="F357" s="54">
        <f ca="1">INDIRECT(ADDRESS(ROW(),COLUMN()-2,4))*INDIRECT(ADDRESS(ROW(),COLUMN()-1,4))</f>
        <v>150000</v>
      </c>
    </row>
    <row r="358" spans="1:9" ht="14.1" customHeight="1" x14ac:dyDescent="0.25">
      <c r="E358" s="66" t="s">
        <v>581</v>
      </c>
      <c r="F358" s="58">
        <f ca="1">SUM(Table15[MONTO TOTAL ESTIMADO])</f>
        <v>300000</v>
      </c>
      <c r="G358" s="26" t="str">
        <f>C349</f>
        <v>Servicios</v>
      </c>
      <c r="H358" s="26" t="str">
        <f>E349</f>
        <v>No</v>
      </c>
      <c r="I358" s="26" t="str">
        <f>D349</f>
        <v>Compras Menores</v>
      </c>
    </row>
    <row r="360" spans="1:9" ht="33.950000000000003" customHeight="1" x14ac:dyDescent="0.25">
      <c r="A360" s="48" t="s">
        <v>745</v>
      </c>
      <c r="B360" s="48" t="s">
        <v>7</v>
      </c>
      <c r="C360" s="48" t="s">
        <v>533</v>
      </c>
      <c r="D360" s="48" t="s">
        <v>668</v>
      </c>
      <c r="E360" s="48" t="s">
        <v>495</v>
      </c>
      <c r="F360" s="48" t="s">
        <v>506</v>
      </c>
    </row>
    <row r="361" spans="1:9" ht="14.1" customHeight="1" x14ac:dyDescent="0.25">
      <c r="A361" s="50" t="s">
        <v>741</v>
      </c>
      <c r="B361" s="50" t="s">
        <v>256</v>
      </c>
      <c r="C361" s="50" t="s">
        <v>298</v>
      </c>
      <c r="D361" s="50" t="s">
        <v>792</v>
      </c>
      <c r="E361" s="50" t="s">
        <v>810</v>
      </c>
      <c r="F361" s="50" t="s">
        <v>296</v>
      </c>
    </row>
    <row r="362" spans="1:9" ht="14.1" customHeight="1" x14ac:dyDescent="0.25">
      <c r="A362" s="67" t="s">
        <v>688</v>
      </c>
      <c r="B362" s="51" t="s">
        <v>372</v>
      </c>
      <c r="C362" s="60">
        <v>44047</v>
      </c>
      <c r="D362" s="67" t="s">
        <v>418</v>
      </c>
      <c r="E362" s="62" t="s">
        <v>613</v>
      </c>
      <c r="F362" s="63" t="s">
        <v>122</v>
      </c>
    </row>
    <row r="363" spans="1:9" ht="14.1" customHeight="1" x14ac:dyDescent="0.25">
      <c r="A363" s="68"/>
      <c r="B363" s="51" t="s">
        <v>72</v>
      </c>
      <c r="C363" s="61">
        <f>IF(C362="","",IF(AND(MONTH(C362)&gt;=1,MONTH(C362)&lt;=3),1,IF(AND(MONTH(C362)&gt;=4,MONTH(C362)&lt;=6),2,IF(AND(MONTH(C362)&gt;=7,MONTH(C362)&lt;=9),3,4))))</f>
        <v>3</v>
      </c>
      <c r="D363" s="68"/>
      <c r="E363" s="62" t="s">
        <v>91</v>
      </c>
      <c r="F363" s="63" t="s">
        <v>670</v>
      </c>
    </row>
    <row r="364" spans="1:9" ht="14.1" customHeight="1" x14ac:dyDescent="0.25">
      <c r="A364" s="68"/>
      <c r="B364" s="51" t="s">
        <v>602</v>
      </c>
      <c r="C364" s="60">
        <v>44053</v>
      </c>
      <c r="D364" s="68"/>
      <c r="E364" s="62" t="s">
        <v>121</v>
      </c>
      <c r="F364" s="63" t="s">
        <v>195</v>
      </c>
    </row>
    <row r="365" spans="1:9" ht="14.1" customHeight="1" x14ac:dyDescent="0.25">
      <c r="A365" s="68"/>
      <c r="B365" s="51" t="s">
        <v>72</v>
      </c>
      <c r="C365" s="61">
        <f>IF(C364="","",IF(AND(MONTH(C364)&gt;=1,MONTH(C364)&lt;=3),1,IF(AND(MONTH(C364)&gt;=4,MONTH(C364)&lt;=6),2,IF(AND(MONTH(C364)&gt;=7,MONTH(C364)&lt;=9),3,4))))</f>
        <v>3</v>
      </c>
      <c r="D365" s="68"/>
      <c r="E365" s="62" t="s">
        <v>618</v>
      </c>
      <c r="F365" s="63"/>
    </row>
    <row r="367" spans="1:9" ht="14.1" customHeight="1" x14ac:dyDescent="0.25">
      <c r="A367" s="56" t="s">
        <v>724</v>
      </c>
      <c r="B367" s="56" t="s">
        <v>736</v>
      </c>
      <c r="C367" s="56" t="s">
        <v>718</v>
      </c>
      <c r="D367" s="56" t="s">
        <v>701</v>
      </c>
      <c r="E367" s="56" t="s">
        <v>308</v>
      </c>
      <c r="F367" s="56" t="s">
        <v>703</v>
      </c>
    </row>
    <row r="368" spans="1:9" ht="14.1" customHeight="1" x14ac:dyDescent="0.25">
      <c r="A368" s="64" t="s">
        <v>671</v>
      </c>
      <c r="B368" s="53" t="str">
        <f ca="1">IFERROR(INDEX(UNSPSCDes,MATCH(INDIRECT(ADDRESS(ROW(),COLUMN()-1,4)),UNSPSCCode,0)),IF(INDIRECT(ADDRESS(ROW(),COLUMN()-1,4))="26101513","Kit de reparación de motores",""))</f>
        <v>Kit de reparación de motores</v>
      </c>
      <c r="C368" s="65" t="str">
        <f>IFERROR(VLOOKUP("UD",'Informacion '!P:Q,2,FALSE),"")</f>
        <v>Unidad</v>
      </c>
      <c r="D368" s="64">
        <v>1</v>
      </c>
      <c r="E368" s="55">
        <v>160000</v>
      </c>
      <c r="F368" s="54">
        <f ca="1">INDIRECT(ADDRESS(ROW(),COLUMN()-2,4))*INDIRECT(ADDRESS(ROW(),COLUMN()-1,4))</f>
        <v>160000</v>
      </c>
    </row>
    <row r="369" spans="1:9" ht="14.1" customHeight="1" x14ac:dyDescent="0.25">
      <c r="A369" s="64" t="s">
        <v>671</v>
      </c>
      <c r="B369" s="53" t="str">
        <f ca="1">IFERROR(INDEX(UNSPSCDes,MATCH(INDIRECT(ADDRESS(ROW(),COLUMN()-1,4)),UNSPSCCode,0)),IF(INDIRECT(ADDRESS(ROW(),COLUMN()-1,4))="26101513","Kit de reparación de motores",""))</f>
        <v>Kit de reparación de motores</v>
      </c>
      <c r="C369" s="65" t="str">
        <f>IFERROR(VLOOKUP("UD",'Informacion '!P:Q,2,FALSE),"")</f>
        <v>Unidad</v>
      </c>
      <c r="D369" s="64">
        <v>1</v>
      </c>
      <c r="E369" s="55">
        <v>150000</v>
      </c>
      <c r="F369" s="54">
        <f ca="1">INDIRECT(ADDRESS(ROW(),COLUMN()-2,4))*INDIRECT(ADDRESS(ROW(),COLUMN()-1,4))</f>
        <v>150000</v>
      </c>
    </row>
    <row r="370" spans="1:9" ht="14.1" customHeight="1" x14ac:dyDescent="0.25">
      <c r="E370" s="66" t="s">
        <v>581</v>
      </c>
      <c r="F370" s="58">
        <f ca="1">SUM(Table16[MONTO TOTAL ESTIMADO])</f>
        <v>310000</v>
      </c>
      <c r="G370" s="26" t="str">
        <f>C361</f>
        <v>Servicios</v>
      </c>
      <c r="H370" s="26" t="str">
        <f>E361</f>
        <v>No</v>
      </c>
      <c r="I370" s="26" t="str">
        <f>D361</f>
        <v>Compras Menores</v>
      </c>
    </row>
    <row r="372" spans="1:9" ht="33.950000000000003" customHeight="1" x14ac:dyDescent="0.25">
      <c r="A372" s="48" t="s">
        <v>745</v>
      </c>
      <c r="B372" s="48" t="s">
        <v>7</v>
      </c>
      <c r="C372" s="48" t="s">
        <v>533</v>
      </c>
      <c r="D372" s="48" t="s">
        <v>668</v>
      </c>
      <c r="E372" s="48" t="s">
        <v>495</v>
      </c>
      <c r="F372" s="48" t="s">
        <v>506</v>
      </c>
    </row>
    <row r="373" spans="1:9" ht="14.1" customHeight="1" x14ac:dyDescent="0.25">
      <c r="A373" s="50" t="s">
        <v>362</v>
      </c>
      <c r="B373" s="50" t="s">
        <v>393</v>
      </c>
      <c r="C373" s="50" t="s">
        <v>809</v>
      </c>
      <c r="D373" s="50" t="s">
        <v>74</v>
      </c>
      <c r="E373" s="50" t="s">
        <v>810</v>
      </c>
      <c r="F373" s="50" t="s">
        <v>296</v>
      </c>
    </row>
    <row r="374" spans="1:9" ht="14.1" customHeight="1" x14ac:dyDescent="0.25">
      <c r="A374" s="67" t="s">
        <v>688</v>
      </c>
      <c r="B374" s="51" t="s">
        <v>372</v>
      </c>
      <c r="C374" s="60">
        <v>44137</v>
      </c>
      <c r="D374" s="67" t="s">
        <v>418</v>
      </c>
      <c r="E374" s="62" t="s">
        <v>613</v>
      </c>
      <c r="F374" s="63" t="s">
        <v>122</v>
      </c>
    </row>
    <row r="375" spans="1:9" ht="14.1" customHeight="1" x14ac:dyDescent="0.25">
      <c r="A375" s="68"/>
      <c r="B375" s="51" t="s">
        <v>72</v>
      </c>
      <c r="C375" s="61">
        <f>IF(C374="","",IF(AND(MONTH(C374)&gt;=1,MONTH(C374)&lt;=3),1,IF(AND(MONTH(C374)&gt;=4,MONTH(C374)&lt;=6),2,IF(AND(MONTH(C374)&gt;=7,MONTH(C374)&lt;=9),3,4))))</f>
        <v>4</v>
      </c>
      <c r="D375" s="68"/>
      <c r="E375" s="62" t="s">
        <v>91</v>
      </c>
      <c r="F375" s="63" t="s">
        <v>670</v>
      </c>
    </row>
    <row r="376" spans="1:9" ht="14.1" customHeight="1" x14ac:dyDescent="0.25">
      <c r="A376" s="68"/>
      <c r="B376" s="51" t="s">
        <v>602</v>
      </c>
      <c r="C376" s="60">
        <v>44146</v>
      </c>
      <c r="D376" s="68"/>
      <c r="E376" s="62" t="s">
        <v>121</v>
      </c>
      <c r="F376" s="63" t="s">
        <v>195</v>
      </c>
    </row>
    <row r="377" spans="1:9" ht="14.1" customHeight="1" x14ac:dyDescent="0.25">
      <c r="A377" s="68"/>
      <c r="B377" s="51" t="s">
        <v>72</v>
      </c>
      <c r="C377" s="61">
        <f>IF(C376="","",IF(AND(MONTH(C376)&gt;=1,MONTH(C376)&lt;=3),1,IF(AND(MONTH(C376)&gt;=4,MONTH(C376)&lt;=6),2,IF(AND(MONTH(C376)&gt;=7,MONTH(C376)&lt;=9),3,4))))</f>
        <v>4</v>
      </c>
      <c r="D377" s="68"/>
      <c r="E377" s="62" t="s">
        <v>618</v>
      </c>
      <c r="F377" s="63"/>
    </row>
    <row r="379" spans="1:9" ht="14.1" customHeight="1" x14ac:dyDescent="0.25">
      <c r="A379" s="56" t="s">
        <v>724</v>
      </c>
      <c r="B379" s="56" t="s">
        <v>736</v>
      </c>
      <c r="C379" s="56" t="s">
        <v>718</v>
      </c>
      <c r="D379" s="56" t="s">
        <v>701</v>
      </c>
      <c r="E379" s="56" t="s">
        <v>308</v>
      </c>
      <c r="F379" s="56" t="s">
        <v>703</v>
      </c>
    </row>
    <row r="380" spans="1:9" ht="14.1" customHeight="1" x14ac:dyDescent="0.25">
      <c r="A380" s="64" t="s">
        <v>543</v>
      </c>
      <c r="B380" s="53" t="str">
        <f ca="1">IFERROR(INDEX(UNSPSCDes,MATCH(INDIRECT(ADDRESS(ROW(),COLUMN()-1,4)),UNSPSCCode,0)),IF(INDIRECT(ADDRESS(ROW(),COLUMN()-1,4))="14111608","Certificados de regalo",""))</f>
        <v>Certificados de regalo</v>
      </c>
      <c r="C380" s="65" t="str">
        <f>IFERROR(VLOOKUP("UD",'Informacion '!P:Q,2,FALSE),"")</f>
        <v>Unidad</v>
      </c>
      <c r="D380" s="64">
        <v>1300</v>
      </c>
      <c r="E380" s="55">
        <v>500</v>
      </c>
      <c r="F380" s="54">
        <f ca="1">INDIRECT(ADDRESS(ROW(),COLUMN()-2,4))*INDIRECT(ADDRESS(ROW(),COLUMN()-1,4))</f>
        <v>650000</v>
      </c>
    </row>
    <row r="381" spans="1:9" ht="14.1" customHeight="1" x14ac:dyDescent="0.25">
      <c r="A381" s="64" t="s">
        <v>543</v>
      </c>
      <c r="B381" s="53" t="str">
        <f ca="1">IFERROR(INDEX(UNSPSCDes,MATCH(INDIRECT(ADDRESS(ROW(),COLUMN()-1,4)),UNSPSCCode,0)),IF(INDIRECT(ADDRESS(ROW(),COLUMN()-1,4))="14111608","Certificados de regalo",""))</f>
        <v>Certificados de regalo</v>
      </c>
      <c r="C381" s="65" t="str">
        <f>IFERROR(VLOOKUP("UD",'Informacion '!P:Q,2,FALSE),"")</f>
        <v>Unidad</v>
      </c>
      <c r="D381" s="64">
        <v>1000</v>
      </c>
      <c r="E381" s="55">
        <v>1000</v>
      </c>
      <c r="F381" s="54">
        <f ca="1">INDIRECT(ADDRESS(ROW(),COLUMN()-2,4))*INDIRECT(ADDRESS(ROW(),COLUMN()-1,4))</f>
        <v>1000000</v>
      </c>
    </row>
    <row r="382" spans="1:9" ht="14.1" customHeight="1" x14ac:dyDescent="0.25">
      <c r="A382" s="64" t="s">
        <v>543</v>
      </c>
      <c r="B382" s="53" t="str">
        <f ca="1">IFERROR(INDEX(UNSPSCDes,MATCH(INDIRECT(ADDRESS(ROW(),COLUMN()-1,4)),UNSPSCCode,0)),IF(INDIRECT(ADDRESS(ROW(),COLUMN()-1,4))="14111608","Certificados de regalo",""))</f>
        <v>Certificados de regalo</v>
      </c>
      <c r="C382" s="65" t="str">
        <f>IFERROR(VLOOKUP("UD",'Informacion '!P:Q,2,FALSE),"")</f>
        <v>Unidad</v>
      </c>
      <c r="D382" s="64">
        <v>100</v>
      </c>
      <c r="E382" s="55">
        <v>2000</v>
      </c>
      <c r="F382" s="54">
        <f ca="1">INDIRECT(ADDRESS(ROW(),COLUMN()-2,4))*INDIRECT(ADDRESS(ROW(),COLUMN()-1,4))</f>
        <v>200000</v>
      </c>
    </row>
    <row r="383" spans="1:9" ht="14.1" customHeight="1" x14ac:dyDescent="0.25">
      <c r="E383" s="66" t="s">
        <v>581</v>
      </c>
      <c r="F383" s="58">
        <f ca="1">SUM(Table17[MONTO TOTAL ESTIMADO])</f>
        <v>1850000</v>
      </c>
      <c r="G383" s="26" t="str">
        <f>C373</f>
        <v>Bienes</v>
      </c>
      <c r="H383" s="26" t="str">
        <f>E373</f>
        <v>No</v>
      </c>
      <c r="I383" s="26" t="str">
        <f>D373</f>
        <v>Comparacion de Precios</v>
      </c>
    </row>
    <row r="385" spans="1:9" ht="33.950000000000003" customHeight="1" x14ac:dyDescent="0.25">
      <c r="A385" s="48" t="s">
        <v>745</v>
      </c>
      <c r="B385" s="48" t="s">
        <v>7</v>
      </c>
      <c r="C385" s="48" t="s">
        <v>533</v>
      </c>
      <c r="D385" s="48" t="s">
        <v>668</v>
      </c>
      <c r="E385" s="48" t="s">
        <v>495</v>
      </c>
      <c r="F385" s="48" t="s">
        <v>506</v>
      </c>
    </row>
    <row r="386" spans="1:9" ht="14.1" customHeight="1" x14ac:dyDescent="0.25">
      <c r="A386" s="50" t="s">
        <v>698</v>
      </c>
      <c r="B386" s="50" t="s">
        <v>349</v>
      </c>
      <c r="C386" s="50" t="s">
        <v>809</v>
      </c>
      <c r="D386" s="50" t="s">
        <v>792</v>
      </c>
      <c r="E386" s="50" t="s">
        <v>810</v>
      </c>
      <c r="F386" s="50" t="s">
        <v>296</v>
      </c>
    </row>
    <row r="387" spans="1:9" ht="14.1" customHeight="1" x14ac:dyDescent="0.25">
      <c r="A387" s="67" t="s">
        <v>688</v>
      </c>
      <c r="B387" s="51" t="s">
        <v>372</v>
      </c>
      <c r="C387" s="60">
        <v>44013</v>
      </c>
      <c r="D387" s="67" t="s">
        <v>418</v>
      </c>
      <c r="E387" s="62" t="s">
        <v>613</v>
      </c>
      <c r="F387" s="63" t="s">
        <v>122</v>
      </c>
    </row>
    <row r="388" spans="1:9" ht="14.1" customHeight="1" x14ac:dyDescent="0.25">
      <c r="A388" s="68"/>
      <c r="B388" s="51" t="s">
        <v>72</v>
      </c>
      <c r="C388" s="61">
        <f>IF(C387="","",IF(AND(MONTH(C387)&gt;=1,MONTH(C387)&lt;=3),1,IF(AND(MONTH(C387)&gt;=4,MONTH(C387)&lt;=6),2,IF(AND(MONTH(C387)&gt;=7,MONTH(C387)&lt;=9),3,4))))</f>
        <v>3</v>
      </c>
      <c r="D388" s="68"/>
      <c r="E388" s="62" t="s">
        <v>91</v>
      </c>
      <c r="F388" s="63" t="s">
        <v>670</v>
      </c>
    </row>
    <row r="389" spans="1:9" ht="14.1" customHeight="1" x14ac:dyDescent="0.25">
      <c r="A389" s="68"/>
      <c r="B389" s="51" t="s">
        <v>602</v>
      </c>
      <c r="C389" s="60">
        <v>44019</v>
      </c>
      <c r="D389" s="68"/>
      <c r="E389" s="62" t="s">
        <v>121</v>
      </c>
      <c r="F389" s="63" t="s">
        <v>195</v>
      </c>
    </row>
    <row r="390" spans="1:9" ht="14.1" customHeight="1" x14ac:dyDescent="0.25">
      <c r="A390" s="68"/>
      <c r="B390" s="51" t="s">
        <v>72</v>
      </c>
      <c r="C390" s="61">
        <f>IF(C389="","",IF(AND(MONTH(C389)&gt;=1,MONTH(C389)&lt;=3),1,IF(AND(MONTH(C389)&gt;=4,MONTH(C389)&lt;=6),2,IF(AND(MONTH(C389)&gt;=7,MONTH(C389)&lt;=9),3,4))))</f>
        <v>3</v>
      </c>
      <c r="D390" s="68"/>
      <c r="E390" s="62" t="s">
        <v>618</v>
      </c>
      <c r="F390" s="63"/>
    </row>
    <row r="392" spans="1:9" ht="14.1" customHeight="1" x14ac:dyDescent="0.25">
      <c r="A392" s="56" t="s">
        <v>724</v>
      </c>
      <c r="B392" s="56" t="s">
        <v>736</v>
      </c>
      <c r="C392" s="56" t="s">
        <v>718</v>
      </c>
      <c r="D392" s="56" t="s">
        <v>701</v>
      </c>
      <c r="E392" s="56" t="s">
        <v>308</v>
      </c>
      <c r="F392" s="56" t="s">
        <v>703</v>
      </c>
    </row>
    <row r="393" spans="1:9" ht="14.1" customHeight="1" x14ac:dyDescent="0.25">
      <c r="A393" s="64" t="s">
        <v>543</v>
      </c>
      <c r="B393" s="53" t="str">
        <f ca="1">IFERROR(INDEX(UNSPSCDes,MATCH(INDIRECT(ADDRESS(ROW(),COLUMN()-1,4)),UNSPSCCode,0)),IF(INDIRECT(ADDRESS(ROW(),COLUMN()-1,4))="14111608","Certificados de regalo",""))</f>
        <v>Certificados de regalo</v>
      </c>
      <c r="C393" s="65" t="str">
        <f>IFERROR(VLOOKUP("UD",'Informacion '!P:Q,2,FALSE),"")</f>
        <v>Unidad</v>
      </c>
      <c r="D393" s="64">
        <v>680</v>
      </c>
      <c r="E393" s="55">
        <v>500</v>
      </c>
      <c r="F393" s="54">
        <f ca="1">INDIRECT(ADDRESS(ROW(),COLUMN()-2,4))*INDIRECT(ADDRESS(ROW(),COLUMN()-1,4))</f>
        <v>340000</v>
      </c>
    </row>
    <row r="394" spans="1:9" ht="14.1" customHeight="1" x14ac:dyDescent="0.25">
      <c r="A394" s="64" t="s">
        <v>543</v>
      </c>
      <c r="B394" s="53" t="str">
        <f ca="1">IFERROR(INDEX(UNSPSCDes,MATCH(INDIRECT(ADDRESS(ROW(),COLUMN()-1,4)),UNSPSCCode,0)),IF(INDIRECT(ADDRESS(ROW(),COLUMN()-1,4))="14111608","Certificados de regalo",""))</f>
        <v>Certificados de regalo</v>
      </c>
      <c r="C394" s="65" t="str">
        <f>IFERROR(VLOOKUP("UD",'Informacion '!P:Q,2,FALSE),"")</f>
        <v>Unidad</v>
      </c>
      <c r="D394" s="64">
        <v>510</v>
      </c>
      <c r="E394" s="55">
        <v>1000</v>
      </c>
      <c r="F394" s="54">
        <f ca="1">INDIRECT(ADDRESS(ROW(),COLUMN()-2,4))*INDIRECT(ADDRESS(ROW(),COLUMN()-1,4))</f>
        <v>510000</v>
      </c>
    </row>
    <row r="395" spans="1:9" ht="14.1" customHeight="1" x14ac:dyDescent="0.25">
      <c r="A395" s="64" t="s">
        <v>543</v>
      </c>
      <c r="B395" s="53" t="str">
        <f ca="1">IFERROR(INDEX(UNSPSCDes,MATCH(INDIRECT(ADDRESS(ROW(),COLUMN()-1,4)),UNSPSCCode,0)),IF(INDIRECT(ADDRESS(ROW(),COLUMN()-1,4))="14111608","Certificados de regalo",""))</f>
        <v>Certificados de regalo</v>
      </c>
      <c r="C395" s="65" t="str">
        <f>IFERROR(VLOOKUP("UD",'Informacion '!P:Q,2,FALSE),"")</f>
        <v>Unidad</v>
      </c>
      <c r="D395" s="64">
        <v>50</v>
      </c>
      <c r="E395" s="55">
        <v>2000</v>
      </c>
      <c r="F395" s="54">
        <f ca="1">INDIRECT(ADDRESS(ROW(),COLUMN()-2,4))*INDIRECT(ADDRESS(ROW(),COLUMN()-1,4))</f>
        <v>100000</v>
      </c>
    </row>
    <row r="396" spans="1:9" ht="14.1" customHeight="1" x14ac:dyDescent="0.25">
      <c r="E396" s="66" t="s">
        <v>581</v>
      </c>
      <c r="F396" s="58">
        <f ca="1">SUM(Table18[MONTO TOTAL ESTIMADO])</f>
        <v>950000</v>
      </c>
      <c r="G396" s="26" t="str">
        <f>C386</f>
        <v>Bienes</v>
      </c>
      <c r="H396" s="26" t="str">
        <f>E386</f>
        <v>No</v>
      </c>
      <c r="I396" s="26" t="str">
        <f>D386</f>
        <v>Compras Menores</v>
      </c>
    </row>
    <row r="398" spans="1:9" ht="33.950000000000003" customHeight="1" x14ac:dyDescent="0.25">
      <c r="A398" s="48" t="s">
        <v>745</v>
      </c>
      <c r="B398" s="48" t="s">
        <v>7</v>
      </c>
      <c r="C398" s="48" t="s">
        <v>533</v>
      </c>
      <c r="D398" s="48" t="s">
        <v>668</v>
      </c>
      <c r="E398" s="48" t="s">
        <v>495</v>
      </c>
      <c r="F398" s="48" t="s">
        <v>506</v>
      </c>
    </row>
    <row r="399" spans="1:9" ht="14.1" customHeight="1" x14ac:dyDescent="0.25">
      <c r="A399" s="50" t="s">
        <v>584</v>
      </c>
      <c r="B399" s="50" t="s">
        <v>387</v>
      </c>
      <c r="C399" s="50" t="s">
        <v>809</v>
      </c>
      <c r="D399" s="50" t="s">
        <v>792</v>
      </c>
      <c r="E399" s="50" t="s">
        <v>810</v>
      </c>
      <c r="F399" s="50" t="s">
        <v>296</v>
      </c>
    </row>
    <row r="400" spans="1:9" ht="14.1" customHeight="1" x14ac:dyDescent="0.25">
      <c r="A400" s="67" t="s">
        <v>688</v>
      </c>
      <c r="B400" s="51" t="s">
        <v>372</v>
      </c>
      <c r="C400" s="60">
        <v>44116</v>
      </c>
      <c r="D400" s="67" t="s">
        <v>418</v>
      </c>
      <c r="E400" s="62" t="s">
        <v>613</v>
      </c>
      <c r="F400" s="63" t="s">
        <v>122</v>
      </c>
    </row>
    <row r="401" spans="1:9" ht="14.1" customHeight="1" x14ac:dyDescent="0.25">
      <c r="A401" s="68"/>
      <c r="B401" s="51" t="s">
        <v>72</v>
      </c>
      <c r="C401" s="61">
        <f>IF(C400="","",IF(AND(MONTH(C400)&gt;=1,MONTH(C400)&lt;=3),1,IF(AND(MONTH(C400)&gt;=4,MONTH(C400)&lt;=6),2,IF(AND(MONTH(C400)&gt;=7,MONTH(C400)&lt;=9),3,4))))</f>
        <v>4</v>
      </c>
      <c r="D401" s="68"/>
      <c r="E401" s="62" t="s">
        <v>91</v>
      </c>
      <c r="F401" s="63" t="s">
        <v>670</v>
      </c>
    </row>
    <row r="402" spans="1:9" ht="14.1" customHeight="1" x14ac:dyDescent="0.25">
      <c r="A402" s="68"/>
      <c r="B402" s="51" t="s">
        <v>602</v>
      </c>
      <c r="C402" s="60">
        <v>44120</v>
      </c>
      <c r="D402" s="68"/>
      <c r="E402" s="62" t="s">
        <v>121</v>
      </c>
      <c r="F402" s="63" t="s">
        <v>195</v>
      </c>
    </row>
    <row r="403" spans="1:9" ht="14.1" customHeight="1" x14ac:dyDescent="0.25">
      <c r="A403" s="68"/>
      <c r="B403" s="51" t="s">
        <v>72</v>
      </c>
      <c r="C403" s="61">
        <f>IF(C402="","",IF(AND(MONTH(C402)&gt;=1,MONTH(C402)&lt;=3),1,IF(AND(MONTH(C402)&gt;=4,MONTH(C402)&lt;=6),2,IF(AND(MONTH(C402)&gt;=7,MONTH(C402)&lt;=9),3,4))))</f>
        <v>4</v>
      </c>
      <c r="D403" s="68"/>
      <c r="E403" s="62" t="s">
        <v>618</v>
      </c>
      <c r="F403" s="63"/>
    </row>
    <row r="405" spans="1:9" ht="14.1" customHeight="1" x14ac:dyDescent="0.25">
      <c r="A405" s="56" t="s">
        <v>724</v>
      </c>
      <c r="B405" s="56" t="s">
        <v>736</v>
      </c>
      <c r="C405" s="56" t="s">
        <v>718</v>
      </c>
      <c r="D405" s="56" t="s">
        <v>701</v>
      </c>
      <c r="E405" s="56" t="s">
        <v>308</v>
      </c>
      <c r="F405" s="56" t="s">
        <v>703</v>
      </c>
    </row>
    <row r="406" spans="1:9" ht="14.1" customHeight="1" x14ac:dyDescent="0.25">
      <c r="A406" s="64" t="s">
        <v>413</v>
      </c>
      <c r="B406" s="53" t="str">
        <f ca="1">IFERROR(INDEX(UNSPSCDes,MATCH(INDIRECT(ADDRESS(ROW(),COLUMN()-1,4)),UNSPSCCode,0)),IF(INDIRECT(ADDRESS(ROW(),COLUMN()-1,4))="41111501","Balanzas de carga superior electrónicos",""))</f>
        <v>Balanzas de carga superior electrónicos</v>
      </c>
      <c r="C406" s="65" t="str">
        <f>IFERROR(VLOOKUP("UD",'Informacion '!P:Q,2,FALSE),"")</f>
        <v>Unidad</v>
      </c>
      <c r="D406" s="64">
        <v>1</v>
      </c>
      <c r="E406" s="55">
        <v>140000</v>
      </c>
      <c r="F406" s="54">
        <f ca="1">INDIRECT(ADDRESS(ROW(),COLUMN()-2,4))*INDIRECT(ADDRESS(ROW(),COLUMN()-1,4))</f>
        <v>140000</v>
      </c>
    </row>
    <row r="407" spans="1:9" ht="14.1" customHeight="1" x14ac:dyDescent="0.25">
      <c r="A407" s="64" t="s">
        <v>744</v>
      </c>
      <c r="B407" s="53" t="str">
        <f ca="1">IFERROR(INDEX(UNSPSCDes,MATCH(INDIRECT(ADDRESS(ROW(),COLUMN()-1,4)),UNSPSCCode,0)),IF(INDIRECT(ADDRESS(ROW(),COLUMN()-1,4))="41101802","Generadores de rayos x",""))</f>
        <v>Generadores de rayos x</v>
      </c>
      <c r="C407" s="65" t="str">
        <f>IFERROR(VLOOKUP("UD",'Informacion '!P:Q,2,FALSE),"")</f>
        <v>Unidad</v>
      </c>
      <c r="D407" s="64">
        <v>1</v>
      </c>
      <c r="E407" s="55">
        <v>40000</v>
      </c>
      <c r="F407" s="54">
        <f ca="1">INDIRECT(ADDRESS(ROW(),COLUMN()-2,4))*INDIRECT(ADDRESS(ROW(),COLUMN()-1,4))</f>
        <v>40000</v>
      </c>
    </row>
    <row r="408" spans="1:9" ht="14.1" customHeight="1" x14ac:dyDescent="0.25">
      <c r="A408" s="64" t="s">
        <v>276</v>
      </c>
      <c r="B408" s="53" t="str">
        <f ca="1">IFERROR(INDEX(UNSPSCDes,MATCH(INDIRECT(ADDRESS(ROW(),COLUMN()-1,4)),UNSPSCCode,0)),IF(INDIRECT(ADDRESS(ROW(),COLUMN()-1,4))="42142103","Lámparas de calor o sus accesorios para uso médico",""))</f>
        <v>Lámparas de calor o sus accesorios para uso médico</v>
      </c>
      <c r="C408" s="65" t="str">
        <f>IFERROR(VLOOKUP("UD",'Informacion '!P:Q,2,FALSE),"")</f>
        <v>Unidad</v>
      </c>
      <c r="D408" s="64">
        <v>1</v>
      </c>
      <c r="E408" s="55">
        <v>8500</v>
      </c>
      <c r="F408" s="54">
        <f ca="1">INDIRECT(ADDRESS(ROW(),COLUMN()-2,4))*INDIRECT(ADDRESS(ROW(),COLUMN()-1,4))</f>
        <v>8500</v>
      </c>
    </row>
    <row r="409" spans="1:9" ht="14.1" customHeight="1" x14ac:dyDescent="0.25">
      <c r="A409" s="64" t="s">
        <v>15</v>
      </c>
      <c r="B409" s="53" t="str">
        <f ca="1">IFERROR(INDEX(UNSPSCDes,MATCH(INDIRECT(ADDRESS(ROW(),COLUMN()-1,4)),UNSPSCCode,0)),IF(INDIRECT(ADDRESS(ROW(),COLUMN()-1,4))="41111723","Microscopios de escáner de luz, disco giratorio o escáner de láser",""))</f>
        <v>Microscopios de escáner de luz, disco giratorio o escáner de láser</v>
      </c>
      <c r="C409" s="65" t="str">
        <f>IFERROR(VLOOKUP("UD",'Informacion '!P:Q,2,FALSE),"")</f>
        <v>Unidad</v>
      </c>
      <c r="D409" s="64">
        <v>1</v>
      </c>
      <c r="E409" s="55">
        <v>15000</v>
      </c>
      <c r="F409" s="54">
        <f ca="1">INDIRECT(ADDRESS(ROW(),COLUMN()-2,4))*INDIRECT(ADDRESS(ROW(),COLUMN()-1,4))</f>
        <v>15000</v>
      </c>
    </row>
    <row r="410" spans="1:9" ht="14.1" customHeight="1" x14ac:dyDescent="0.25">
      <c r="A410" s="64" t="s">
        <v>616</v>
      </c>
      <c r="B410" s="53" t="str">
        <f ca="1">IFERROR(INDEX(UNSPSCDes,MATCH(INDIRECT(ADDRESS(ROW(),COLUMN()-1,4)),UNSPSCCode,0)),IF(INDIRECT(ADDRESS(ROW(),COLUMN()-1,4))="41112509","Monitores de temperatura y velocidad del aire",""))</f>
        <v>Monitores de temperatura y velocidad del aire</v>
      </c>
      <c r="C410" s="65" t="str">
        <f>IFERROR(VLOOKUP("UD",'Informacion '!P:Q,2,FALSE),"")</f>
        <v>Unidad</v>
      </c>
      <c r="D410" s="64">
        <v>1</v>
      </c>
      <c r="E410" s="55">
        <v>125000</v>
      </c>
      <c r="F410" s="54">
        <f ca="1">INDIRECT(ADDRESS(ROW(),COLUMN()-2,4))*INDIRECT(ADDRESS(ROW(),COLUMN()-1,4))</f>
        <v>125000</v>
      </c>
    </row>
    <row r="411" spans="1:9" ht="14.1" customHeight="1" x14ac:dyDescent="0.25">
      <c r="E411" s="66" t="s">
        <v>581</v>
      </c>
      <c r="F411" s="58">
        <f ca="1">SUM(Table19[MONTO TOTAL ESTIMADO])</f>
        <v>328500</v>
      </c>
      <c r="G411" s="26" t="str">
        <f>C399</f>
        <v>Bienes</v>
      </c>
      <c r="H411" s="26" t="str">
        <f>E399</f>
        <v>No</v>
      </c>
      <c r="I411" s="26" t="str">
        <f>D399</f>
        <v>Compras Menores</v>
      </c>
    </row>
    <row r="413" spans="1:9" ht="33.950000000000003" customHeight="1" x14ac:dyDescent="0.25">
      <c r="A413" s="48" t="s">
        <v>745</v>
      </c>
      <c r="B413" s="48" t="s">
        <v>7</v>
      </c>
      <c r="C413" s="48" t="s">
        <v>533</v>
      </c>
      <c r="D413" s="48" t="s">
        <v>668</v>
      </c>
      <c r="E413" s="48" t="s">
        <v>495</v>
      </c>
      <c r="F413" s="48" t="s">
        <v>506</v>
      </c>
    </row>
    <row r="414" spans="1:9" ht="14.1" customHeight="1" x14ac:dyDescent="0.25">
      <c r="A414" s="50" t="s">
        <v>565</v>
      </c>
      <c r="B414" s="50" t="s">
        <v>570</v>
      </c>
      <c r="C414" s="50" t="s">
        <v>809</v>
      </c>
      <c r="D414" s="50" t="s">
        <v>792</v>
      </c>
      <c r="E414" s="50" t="s">
        <v>810</v>
      </c>
      <c r="F414" s="50" t="s">
        <v>296</v>
      </c>
    </row>
    <row r="415" spans="1:9" ht="14.1" customHeight="1" x14ac:dyDescent="0.25">
      <c r="A415" s="67" t="s">
        <v>688</v>
      </c>
      <c r="B415" s="51" t="s">
        <v>372</v>
      </c>
      <c r="C415" s="60">
        <v>43984</v>
      </c>
      <c r="D415" s="67" t="s">
        <v>418</v>
      </c>
      <c r="E415" s="62" t="s">
        <v>613</v>
      </c>
      <c r="F415" s="63" t="s">
        <v>122</v>
      </c>
    </row>
    <row r="416" spans="1:9" ht="14.1" customHeight="1" x14ac:dyDescent="0.25">
      <c r="A416" s="68"/>
      <c r="B416" s="51" t="s">
        <v>72</v>
      </c>
      <c r="C416" s="61">
        <f>IF(C415="","",IF(AND(MONTH(C415)&gt;=1,MONTH(C415)&lt;=3),1,IF(AND(MONTH(C415)&gt;=4,MONTH(C415)&lt;=6),2,IF(AND(MONTH(C415)&gt;=7,MONTH(C415)&lt;=9),3,4))))</f>
        <v>2</v>
      </c>
      <c r="D416" s="68"/>
      <c r="E416" s="62" t="s">
        <v>91</v>
      </c>
      <c r="F416" s="63" t="s">
        <v>670</v>
      </c>
    </row>
    <row r="417" spans="1:9" ht="14.1" customHeight="1" x14ac:dyDescent="0.25">
      <c r="A417" s="68"/>
      <c r="B417" s="51" t="s">
        <v>602</v>
      </c>
      <c r="C417" s="60">
        <v>43990</v>
      </c>
      <c r="D417" s="68"/>
      <c r="E417" s="62" t="s">
        <v>121</v>
      </c>
      <c r="F417" s="63" t="s">
        <v>195</v>
      </c>
    </row>
    <row r="418" spans="1:9" ht="14.1" customHeight="1" x14ac:dyDescent="0.25">
      <c r="A418" s="68"/>
      <c r="B418" s="51" t="s">
        <v>72</v>
      </c>
      <c r="C418" s="61">
        <f>IF(C417="","",IF(AND(MONTH(C417)&gt;=1,MONTH(C417)&lt;=3),1,IF(AND(MONTH(C417)&gt;=4,MONTH(C417)&lt;=6),2,IF(AND(MONTH(C417)&gt;=7,MONTH(C417)&lt;=9),3,4))))</f>
        <v>2</v>
      </c>
      <c r="D418" s="68"/>
      <c r="E418" s="62" t="s">
        <v>618</v>
      </c>
      <c r="F418" s="63"/>
    </row>
    <row r="420" spans="1:9" ht="14.1" customHeight="1" x14ac:dyDescent="0.25">
      <c r="A420" s="56" t="s">
        <v>724</v>
      </c>
      <c r="B420" s="56" t="s">
        <v>736</v>
      </c>
      <c r="C420" s="56" t="s">
        <v>718</v>
      </c>
      <c r="D420" s="56" t="s">
        <v>701</v>
      </c>
      <c r="E420" s="56" t="s">
        <v>308</v>
      </c>
      <c r="F420" s="56" t="s">
        <v>703</v>
      </c>
    </row>
    <row r="421" spans="1:9" ht="14.1" customHeight="1" x14ac:dyDescent="0.25">
      <c r="A421" s="64" t="s">
        <v>848</v>
      </c>
      <c r="B421" s="53" t="str">
        <f ca="1">IFERROR(INDEX(UNSPSCDes,MATCH(INDIRECT(ADDRESS(ROW(),COLUMN()-1,4)),UNSPSCCode,0)),IF(INDIRECT(ADDRESS(ROW(),COLUMN()-1,4))="26111703","Baterías para vehículos",""))</f>
        <v>Baterías para vehículos</v>
      </c>
      <c r="C421" s="65" t="str">
        <f>IFERROR(VLOOKUP("UD",'Informacion '!P:Q,2,FALSE),"")</f>
        <v>Unidad</v>
      </c>
      <c r="D421" s="64">
        <v>2</v>
      </c>
      <c r="E421" s="55">
        <v>8000</v>
      </c>
      <c r="F421" s="54">
        <f ca="1">INDIRECT(ADDRESS(ROW(),COLUMN()-2,4))*INDIRECT(ADDRESS(ROW(),COLUMN()-1,4))</f>
        <v>16000</v>
      </c>
    </row>
    <row r="422" spans="1:9" ht="14.1" customHeight="1" x14ac:dyDescent="0.25">
      <c r="A422" s="64" t="s">
        <v>848</v>
      </c>
      <c r="B422" s="53" t="str">
        <f ca="1">IFERROR(INDEX(UNSPSCDes,MATCH(INDIRECT(ADDRESS(ROW(),COLUMN()-1,4)),UNSPSCCode,0)),IF(INDIRECT(ADDRESS(ROW(),COLUMN()-1,4))="26111703","Baterías para vehículos",""))</f>
        <v>Baterías para vehículos</v>
      </c>
      <c r="C422" s="65" t="str">
        <f>IFERROR(VLOOKUP("UD",'Informacion '!P:Q,2,FALSE),"")</f>
        <v>Unidad</v>
      </c>
      <c r="D422" s="64">
        <v>1</v>
      </c>
      <c r="E422" s="55">
        <v>7000</v>
      </c>
      <c r="F422" s="54">
        <f ca="1">INDIRECT(ADDRESS(ROW(),COLUMN()-2,4))*INDIRECT(ADDRESS(ROW(),COLUMN()-1,4))</f>
        <v>7000</v>
      </c>
    </row>
    <row r="423" spans="1:9" ht="14.1" customHeight="1" x14ac:dyDescent="0.25">
      <c r="A423" s="64" t="s">
        <v>119</v>
      </c>
      <c r="B423" s="53" t="str">
        <f ca="1">IFERROR(INDEX(UNSPSCDes,MATCH(INDIRECT(ADDRESS(ROW(),COLUMN()-1,4)),UNSPSCCode,0)),IF(INDIRECT(ADDRESS(ROW(),COLUMN()-1,4))="26111701","Baterías recargables",""))</f>
        <v>Baterías recargables</v>
      </c>
      <c r="C423" s="65" t="str">
        <f>IFERROR(VLOOKUP("UD",'Informacion '!P:Q,2,FALSE),"")</f>
        <v>Unidad</v>
      </c>
      <c r="D423" s="64">
        <v>16</v>
      </c>
      <c r="E423" s="55">
        <v>15000</v>
      </c>
      <c r="F423" s="54">
        <f ca="1">INDIRECT(ADDRESS(ROW(),COLUMN()-2,4))*INDIRECT(ADDRESS(ROW(),COLUMN()-1,4))</f>
        <v>240000</v>
      </c>
    </row>
    <row r="424" spans="1:9" ht="14.1" customHeight="1" x14ac:dyDescent="0.25">
      <c r="A424" s="64" t="s">
        <v>119</v>
      </c>
      <c r="B424" s="53" t="str">
        <f ca="1">IFERROR(INDEX(UNSPSCDes,MATCH(INDIRECT(ADDRESS(ROW(),COLUMN()-1,4)),UNSPSCCode,0)),IF(INDIRECT(ADDRESS(ROW(),COLUMN()-1,4))="26111701","Baterías recargables",""))</f>
        <v>Baterías recargables</v>
      </c>
      <c r="C424" s="65" t="str">
        <f>IFERROR(VLOOKUP("UD",'Informacion '!P:Q,2,FALSE),"")</f>
        <v>Unidad</v>
      </c>
      <c r="D424" s="64">
        <v>2</v>
      </c>
      <c r="E424" s="55">
        <v>7000</v>
      </c>
      <c r="F424" s="54">
        <f ca="1">INDIRECT(ADDRESS(ROW(),COLUMN()-2,4))*INDIRECT(ADDRESS(ROW(),COLUMN()-1,4))</f>
        <v>14000</v>
      </c>
    </row>
    <row r="425" spans="1:9" ht="14.1" customHeight="1" x14ac:dyDescent="0.25">
      <c r="A425" s="64" t="s">
        <v>119</v>
      </c>
      <c r="B425" s="53" t="str">
        <f ca="1">IFERROR(INDEX(UNSPSCDes,MATCH(INDIRECT(ADDRESS(ROW(),COLUMN()-1,4)),UNSPSCCode,0)),IF(INDIRECT(ADDRESS(ROW(),COLUMN()-1,4))="26111701","Baterías recargables",""))</f>
        <v>Baterías recargables</v>
      </c>
      <c r="C425" s="65" t="str">
        <f>IFERROR(VLOOKUP("UD",'Informacion '!P:Q,2,FALSE),"")</f>
        <v>Unidad</v>
      </c>
      <c r="D425" s="64">
        <v>3</v>
      </c>
      <c r="E425" s="55">
        <v>6500</v>
      </c>
      <c r="F425" s="54">
        <f ca="1">INDIRECT(ADDRESS(ROW(),COLUMN()-2,4))*INDIRECT(ADDRESS(ROW(),COLUMN()-1,4))</f>
        <v>19500</v>
      </c>
    </row>
    <row r="426" spans="1:9" ht="14.1" customHeight="1" x14ac:dyDescent="0.25">
      <c r="E426" s="66" t="s">
        <v>581</v>
      </c>
      <c r="F426" s="58">
        <f ca="1">SUM(Table20[MONTO TOTAL ESTIMADO])</f>
        <v>296500</v>
      </c>
      <c r="G426" s="26" t="str">
        <f>C414</f>
        <v>Bienes</v>
      </c>
      <c r="H426" s="26" t="str">
        <f>E414</f>
        <v>No</v>
      </c>
      <c r="I426" s="26" t="str">
        <f>D414</f>
        <v>Compras Menores</v>
      </c>
    </row>
    <row r="428" spans="1:9" ht="33.950000000000003" customHeight="1" x14ac:dyDescent="0.25">
      <c r="A428" s="48" t="s">
        <v>745</v>
      </c>
      <c r="B428" s="48" t="s">
        <v>7</v>
      </c>
      <c r="C428" s="48" t="s">
        <v>533</v>
      </c>
      <c r="D428" s="48" t="s">
        <v>668</v>
      </c>
      <c r="E428" s="48" t="s">
        <v>495</v>
      </c>
      <c r="F428" s="48" t="s">
        <v>506</v>
      </c>
    </row>
    <row r="429" spans="1:9" ht="14.1" customHeight="1" x14ac:dyDescent="0.25">
      <c r="A429" s="50" t="s">
        <v>813</v>
      </c>
      <c r="B429" s="50" t="s">
        <v>424</v>
      </c>
      <c r="C429" s="50" t="s">
        <v>809</v>
      </c>
      <c r="D429" s="50" t="s">
        <v>792</v>
      </c>
      <c r="E429" s="50" t="s">
        <v>810</v>
      </c>
      <c r="F429" s="50" t="s">
        <v>296</v>
      </c>
    </row>
    <row r="430" spans="1:9" ht="14.1" customHeight="1" x14ac:dyDescent="0.25">
      <c r="A430" s="67" t="s">
        <v>688</v>
      </c>
      <c r="B430" s="51" t="s">
        <v>372</v>
      </c>
      <c r="C430" s="60">
        <v>43906</v>
      </c>
      <c r="D430" s="67" t="s">
        <v>418</v>
      </c>
      <c r="E430" s="62" t="s">
        <v>613</v>
      </c>
      <c r="F430" s="63" t="s">
        <v>122</v>
      </c>
    </row>
    <row r="431" spans="1:9" ht="14.1" customHeight="1" x14ac:dyDescent="0.25">
      <c r="A431" s="68"/>
      <c r="B431" s="51" t="s">
        <v>72</v>
      </c>
      <c r="C431" s="61">
        <f>IF(C430="","",IF(AND(MONTH(C430)&gt;=1,MONTH(C430)&lt;=3),1,IF(AND(MONTH(C430)&gt;=4,MONTH(C430)&lt;=6),2,IF(AND(MONTH(C430)&gt;=7,MONTH(C430)&lt;=9),3,4))))</f>
        <v>1</v>
      </c>
      <c r="D431" s="68"/>
      <c r="E431" s="62" t="s">
        <v>91</v>
      </c>
      <c r="F431" s="63" t="s">
        <v>670</v>
      </c>
    </row>
    <row r="432" spans="1:9" ht="14.1" customHeight="1" x14ac:dyDescent="0.25">
      <c r="A432" s="68"/>
      <c r="B432" s="51" t="s">
        <v>602</v>
      </c>
      <c r="C432" s="60">
        <v>43910</v>
      </c>
      <c r="D432" s="68"/>
      <c r="E432" s="62" t="s">
        <v>121</v>
      </c>
      <c r="F432" s="63" t="s">
        <v>195</v>
      </c>
    </row>
    <row r="433" spans="1:6" ht="14.1" customHeight="1" x14ac:dyDescent="0.25">
      <c r="A433" s="68"/>
      <c r="B433" s="51" t="s">
        <v>72</v>
      </c>
      <c r="C433" s="61">
        <f>IF(C432="","",IF(AND(MONTH(C432)&gt;=1,MONTH(C432)&lt;=3),1,IF(AND(MONTH(C432)&gt;=4,MONTH(C432)&lt;=6),2,IF(AND(MONTH(C432)&gt;=7,MONTH(C432)&lt;=9),3,4))))</f>
        <v>1</v>
      </c>
      <c r="D433" s="68"/>
      <c r="E433" s="62" t="s">
        <v>618</v>
      </c>
      <c r="F433" s="63"/>
    </row>
    <row r="435" spans="1:6" ht="14.1" customHeight="1" x14ac:dyDescent="0.25">
      <c r="A435" s="56" t="s">
        <v>724</v>
      </c>
      <c r="B435" s="56" t="s">
        <v>736</v>
      </c>
      <c r="C435" s="56" t="s">
        <v>718</v>
      </c>
      <c r="D435" s="56" t="s">
        <v>701</v>
      </c>
      <c r="E435" s="56" t="s">
        <v>308</v>
      </c>
      <c r="F435" s="56" t="s">
        <v>703</v>
      </c>
    </row>
    <row r="436" spans="1:6" ht="14.1" customHeight="1" x14ac:dyDescent="0.25">
      <c r="A436" s="64" t="s">
        <v>556</v>
      </c>
      <c r="B436" s="53" t="str">
        <f ca="1">IFERROR(INDEX(UNSPSCDes,MATCH(INDIRECT(ADDRESS(ROW(),COLUMN()-1,4)),UNSPSCCode,0)),IF(INDIRECT(ADDRESS(ROW(),COLUMN()-1,4))="42312204","Botas y dispositivos de captura para sutura",""))</f>
        <v>Botas y dispositivos de captura para sutura</v>
      </c>
      <c r="C436" s="65" t="str">
        <f>IFERROR(VLOOKUP("UD",'Informacion '!P:Q,2,FALSE),"")</f>
        <v>Unidad</v>
      </c>
      <c r="D436" s="64">
        <v>1</v>
      </c>
      <c r="E436" s="55">
        <v>1900</v>
      </c>
      <c r="F436" s="54">
        <f t="shared" ref="F436:F461" ca="1" si="7">INDIRECT(ADDRESS(ROW(),COLUMN()-2,4))*INDIRECT(ADDRESS(ROW(),COLUMN()-1,4))</f>
        <v>1900</v>
      </c>
    </row>
    <row r="437" spans="1:6" ht="14.1" customHeight="1" x14ac:dyDescent="0.25">
      <c r="A437" s="64" t="s">
        <v>556</v>
      </c>
      <c r="B437" s="53" t="str">
        <f ca="1">IFERROR(INDEX(UNSPSCDes,MATCH(INDIRECT(ADDRESS(ROW(),COLUMN()-1,4)),UNSPSCCode,0)),IF(INDIRECT(ADDRESS(ROW(),COLUMN()-1,4))="42312204","Botas y dispositivos de captura para sutura",""))</f>
        <v>Botas y dispositivos de captura para sutura</v>
      </c>
      <c r="C437" s="65" t="str">
        <f>IFERROR(VLOOKUP("UD",'Informacion '!P:Q,2,FALSE),"")</f>
        <v>Unidad</v>
      </c>
      <c r="D437" s="64">
        <v>3</v>
      </c>
      <c r="E437" s="55">
        <v>1900</v>
      </c>
      <c r="F437" s="54">
        <f t="shared" ca="1" si="7"/>
        <v>5700</v>
      </c>
    </row>
    <row r="438" spans="1:6" ht="14.1" customHeight="1" x14ac:dyDescent="0.25">
      <c r="A438" s="64" t="s">
        <v>556</v>
      </c>
      <c r="B438" s="53" t="str">
        <f ca="1">IFERROR(INDEX(UNSPSCDes,MATCH(INDIRECT(ADDRESS(ROW(),COLUMN()-1,4)),UNSPSCCode,0)),IF(INDIRECT(ADDRESS(ROW(),COLUMN()-1,4))="42312204","Botas y dispositivos de captura para sutura",""))</f>
        <v>Botas y dispositivos de captura para sutura</v>
      </c>
      <c r="C438" s="65" t="str">
        <f>IFERROR(VLOOKUP("UD",'Informacion '!P:Q,2,FALSE),"")</f>
        <v>Unidad</v>
      </c>
      <c r="D438" s="64">
        <v>2</v>
      </c>
      <c r="E438" s="55">
        <v>1900</v>
      </c>
      <c r="F438" s="54">
        <f t="shared" ca="1" si="7"/>
        <v>3800</v>
      </c>
    </row>
    <row r="439" spans="1:6" ht="14.1" customHeight="1" x14ac:dyDescent="0.25">
      <c r="A439" s="64" t="s">
        <v>556</v>
      </c>
      <c r="B439" s="53" t="str">
        <f ca="1">IFERROR(INDEX(UNSPSCDes,MATCH(INDIRECT(ADDRESS(ROW(),COLUMN()-1,4)),UNSPSCCode,0)),IF(INDIRECT(ADDRESS(ROW(),COLUMN()-1,4))="42312204","Botas y dispositivos de captura para sutura",""))</f>
        <v>Botas y dispositivos de captura para sutura</v>
      </c>
      <c r="C439" s="65" t="str">
        <f>IFERROR(VLOOKUP("UD",'Informacion '!P:Q,2,FALSE),"")</f>
        <v>Unidad</v>
      </c>
      <c r="D439" s="64">
        <v>3</v>
      </c>
      <c r="E439" s="55">
        <v>1900</v>
      </c>
      <c r="F439" s="54">
        <f t="shared" ca="1" si="7"/>
        <v>5700</v>
      </c>
    </row>
    <row r="440" spans="1:6" ht="14.1" customHeight="1" x14ac:dyDescent="0.25">
      <c r="A440" s="64" t="s">
        <v>556</v>
      </c>
      <c r="B440" s="53" t="str">
        <f ca="1">IFERROR(INDEX(UNSPSCDes,MATCH(INDIRECT(ADDRESS(ROW(),COLUMN()-1,4)),UNSPSCCode,0)),IF(INDIRECT(ADDRESS(ROW(),COLUMN()-1,4))="42312204","Botas y dispositivos de captura para sutura",""))</f>
        <v>Botas y dispositivos de captura para sutura</v>
      </c>
      <c r="C440" s="65" t="str">
        <f>IFERROR(VLOOKUP("UD",'Informacion '!P:Q,2,FALSE),"")</f>
        <v>Unidad</v>
      </c>
      <c r="D440" s="64">
        <v>4</v>
      </c>
      <c r="E440" s="55">
        <v>1900</v>
      </c>
      <c r="F440" s="54">
        <f t="shared" ca="1" si="7"/>
        <v>7600</v>
      </c>
    </row>
    <row r="441" spans="1:6" ht="14.1" customHeight="1" x14ac:dyDescent="0.25">
      <c r="A441" s="64" t="s">
        <v>440</v>
      </c>
      <c r="B441" s="53" t="str">
        <f ca="1">IFERROR(INDEX(UNSPSCDes,MATCH(INDIRECT(ADDRESS(ROW(),COLUMN()-1,4)),UNSPSCCode,0)),IF(INDIRECT(ADDRESS(ROW(),COLUMN()-1,4))="49141503","Reguladores para buceo",""))</f>
        <v>Reguladores para buceo</v>
      </c>
      <c r="C441" s="65" t="str">
        <f>IFERROR(VLOOKUP("UD",'Informacion '!P:Q,2,FALSE),"")</f>
        <v>Unidad</v>
      </c>
      <c r="D441" s="64">
        <v>3</v>
      </c>
      <c r="E441" s="55">
        <v>25000</v>
      </c>
      <c r="F441" s="54">
        <f t="shared" ca="1" si="7"/>
        <v>75000</v>
      </c>
    </row>
    <row r="442" spans="1:6" ht="14.1" customHeight="1" x14ac:dyDescent="0.25">
      <c r="A442" s="64" t="s">
        <v>24</v>
      </c>
      <c r="B442" s="53" t="str">
        <f ca="1">IFERROR(INDEX(UNSPSCDes,MATCH(INDIRECT(ADDRESS(ROW(),COLUMN()-1,4)),UNSPSCCode,0)),IF(INDIRECT(ADDRESS(ROW(),COLUMN()-1,4))="60131509","Boquillas",""))</f>
        <v>Boquillas</v>
      </c>
      <c r="C442" s="65" t="str">
        <f>IFERROR(VLOOKUP("UD",'Informacion '!P:Q,2,FALSE),"")</f>
        <v>Unidad</v>
      </c>
      <c r="D442" s="64">
        <v>10</v>
      </c>
      <c r="E442" s="55">
        <v>500</v>
      </c>
      <c r="F442" s="54">
        <f t="shared" ca="1" si="7"/>
        <v>5000</v>
      </c>
    </row>
    <row r="443" spans="1:6" ht="14.1" customHeight="1" x14ac:dyDescent="0.25">
      <c r="A443" s="64" t="s">
        <v>492</v>
      </c>
      <c r="B443" s="53" t="str">
        <f ca="1">IFERROR(INDEX(UNSPSCDes,MATCH(INDIRECT(ADDRESS(ROW(),COLUMN()-1,4)),UNSPSCCode,0)),IF(INDIRECT(ADDRESS(ROW(),COLUMN()-1,4))="49141505","Máscaras o aletas o esnórqueles",""))</f>
        <v>Máscaras o aletas o esnórqueles</v>
      </c>
      <c r="C443" s="65" t="str">
        <f>IFERROR(VLOOKUP("UD",'Informacion '!P:Q,2,FALSE),"")</f>
        <v>Unidad</v>
      </c>
      <c r="D443" s="64">
        <v>6</v>
      </c>
      <c r="E443" s="55">
        <v>500</v>
      </c>
      <c r="F443" s="54">
        <f t="shared" ca="1" si="7"/>
        <v>3000</v>
      </c>
    </row>
    <row r="444" spans="1:6" ht="14.1" customHeight="1" x14ac:dyDescent="0.25">
      <c r="A444" s="64" t="s">
        <v>786</v>
      </c>
      <c r="B444" s="53" t="str">
        <f ca="1">IFERROR(INDEX(UNSPSCDes,MATCH(INDIRECT(ADDRESS(ROW(),COLUMN()-1,4)),UNSPSCCode,0)),IF(INDIRECT(ADDRESS(ROW(),COLUMN()-1,4))="49141507","Trajes secos",""))</f>
        <v>Trajes secos</v>
      </c>
      <c r="C444" s="65" t="str">
        <f>IFERROR(VLOOKUP("UD",'Informacion '!P:Q,2,FALSE),"")</f>
        <v>Unidad</v>
      </c>
      <c r="D444" s="64">
        <v>2</v>
      </c>
      <c r="E444" s="55">
        <v>6000</v>
      </c>
      <c r="F444" s="54">
        <f t="shared" ca="1" si="7"/>
        <v>12000</v>
      </c>
    </row>
    <row r="445" spans="1:6" ht="14.1" customHeight="1" x14ac:dyDescent="0.25">
      <c r="A445" s="64" t="s">
        <v>786</v>
      </c>
      <c r="B445" s="53" t="str">
        <f ca="1">IFERROR(INDEX(UNSPSCDes,MATCH(INDIRECT(ADDRESS(ROW(),COLUMN()-1,4)),UNSPSCCode,0)),IF(INDIRECT(ADDRESS(ROW(),COLUMN()-1,4))="49141507","Trajes secos",""))</f>
        <v>Trajes secos</v>
      </c>
      <c r="C445" s="65" t="str">
        <f>IFERROR(VLOOKUP("UD",'Informacion '!P:Q,2,FALSE),"")</f>
        <v>Unidad</v>
      </c>
      <c r="D445" s="64">
        <v>5</v>
      </c>
      <c r="E445" s="55">
        <v>4800</v>
      </c>
      <c r="F445" s="54">
        <f t="shared" ca="1" si="7"/>
        <v>24000</v>
      </c>
    </row>
    <row r="446" spans="1:6" ht="14.1" customHeight="1" x14ac:dyDescent="0.25">
      <c r="A446" s="64" t="s">
        <v>786</v>
      </c>
      <c r="B446" s="53" t="str">
        <f ca="1">IFERROR(INDEX(UNSPSCDes,MATCH(INDIRECT(ADDRESS(ROW(),COLUMN()-1,4)),UNSPSCCode,0)),IF(INDIRECT(ADDRESS(ROW(),COLUMN()-1,4))="49141507","Trajes secos",""))</f>
        <v>Trajes secos</v>
      </c>
      <c r="C446" s="65" t="str">
        <f>IFERROR(VLOOKUP("UD",'Informacion '!P:Q,2,FALSE),"")</f>
        <v>Unidad</v>
      </c>
      <c r="D446" s="64">
        <v>5</v>
      </c>
      <c r="E446" s="55">
        <v>4800</v>
      </c>
      <c r="F446" s="54">
        <f t="shared" ca="1" si="7"/>
        <v>24000</v>
      </c>
    </row>
    <row r="447" spans="1:6" ht="14.1" customHeight="1" x14ac:dyDescent="0.25">
      <c r="A447" s="64" t="s">
        <v>654</v>
      </c>
      <c r="B447" s="53" t="str">
        <f ca="1">IFERROR(INDEX(UNSPSCDes,MATCH(INDIRECT(ADDRESS(ROW(),COLUMN()-1,4)),UNSPSCCode,0)),IF(INDIRECT(ADDRESS(ROW(),COLUMN()-1,4))="49141504","Instrumentos de buceo o accesorios",""))</f>
        <v>Instrumentos de buceo o accesorios</v>
      </c>
      <c r="C447" s="65" t="str">
        <f>IFERROR(VLOOKUP("UD",'Informacion '!P:Q,2,FALSE),"")</f>
        <v>Unidad</v>
      </c>
      <c r="D447" s="64">
        <v>4</v>
      </c>
      <c r="E447" s="55">
        <v>800</v>
      </c>
      <c r="F447" s="54">
        <f t="shared" ca="1" si="7"/>
        <v>3200</v>
      </c>
    </row>
    <row r="448" spans="1:6" ht="14.1" customHeight="1" x14ac:dyDescent="0.25">
      <c r="A448" s="64" t="s">
        <v>654</v>
      </c>
      <c r="B448" s="53" t="str">
        <f ca="1">IFERROR(INDEX(UNSPSCDes,MATCH(INDIRECT(ADDRESS(ROW(),COLUMN()-1,4)),UNSPSCCode,0)),IF(INDIRECT(ADDRESS(ROW(),COLUMN()-1,4))="49141504","Instrumentos de buceo o accesorios",""))</f>
        <v>Instrumentos de buceo o accesorios</v>
      </c>
      <c r="C448" s="65" t="str">
        <f>IFERROR(VLOOKUP("UD",'Informacion '!P:Q,2,FALSE),"")</f>
        <v>Unidad</v>
      </c>
      <c r="D448" s="64">
        <v>6</v>
      </c>
      <c r="E448" s="55">
        <v>800</v>
      </c>
      <c r="F448" s="54">
        <f t="shared" ca="1" si="7"/>
        <v>4800</v>
      </c>
    </row>
    <row r="449" spans="1:9" ht="14.1" customHeight="1" x14ac:dyDescent="0.25">
      <c r="A449" s="64" t="s">
        <v>654</v>
      </c>
      <c r="B449" s="53" t="str">
        <f ca="1">IFERROR(INDEX(UNSPSCDes,MATCH(INDIRECT(ADDRESS(ROW(),COLUMN()-1,4)),UNSPSCCode,0)),IF(INDIRECT(ADDRESS(ROW(),COLUMN()-1,4))="49141504","Instrumentos de buceo o accesorios",""))</f>
        <v>Instrumentos de buceo o accesorios</v>
      </c>
      <c r="C449" s="65" t="str">
        <f>IFERROR(VLOOKUP("UD",'Informacion '!P:Q,2,FALSE),"")</f>
        <v>Unidad</v>
      </c>
      <c r="D449" s="64">
        <v>2</v>
      </c>
      <c r="E449" s="55">
        <v>800</v>
      </c>
      <c r="F449" s="54">
        <f t="shared" ca="1" si="7"/>
        <v>1600</v>
      </c>
    </row>
    <row r="450" spans="1:9" ht="14.1" customHeight="1" x14ac:dyDescent="0.25">
      <c r="A450" s="64" t="s">
        <v>654</v>
      </c>
      <c r="B450" s="53" t="str">
        <f ca="1">IFERROR(INDEX(UNSPSCDes,MATCH(INDIRECT(ADDRESS(ROW(),COLUMN()-1,4)),UNSPSCCode,0)),IF(INDIRECT(ADDRESS(ROW(),COLUMN()-1,4))="49141504","Instrumentos de buceo o accesorios",""))</f>
        <v>Instrumentos de buceo o accesorios</v>
      </c>
      <c r="C450" s="65" t="str">
        <f>IFERROR(VLOOKUP("UD",'Informacion '!P:Q,2,FALSE),"")</f>
        <v>Unidad</v>
      </c>
      <c r="D450" s="64">
        <v>6</v>
      </c>
      <c r="E450" s="55">
        <v>600</v>
      </c>
      <c r="F450" s="54">
        <f t="shared" ca="1" si="7"/>
        <v>3600</v>
      </c>
    </row>
    <row r="451" spans="1:9" ht="14.1" customHeight="1" x14ac:dyDescent="0.25">
      <c r="A451" s="64" t="s">
        <v>654</v>
      </c>
      <c r="B451" s="53" t="str">
        <f ca="1">IFERROR(INDEX(UNSPSCDes,MATCH(INDIRECT(ADDRESS(ROW(),COLUMN()-1,4)),UNSPSCCode,0)),IF(INDIRECT(ADDRESS(ROW(),COLUMN()-1,4))="49141504","Instrumentos de buceo o accesorios",""))</f>
        <v>Instrumentos de buceo o accesorios</v>
      </c>
      <c r="C451" s="65" t="str">
        <f>IFERROR(VLOOKUP("UD",'Informacion '!P:Q,2,FALSE),"")</f>
        <v>Unidad</v>
      </c>
      <c r="D451" s="64">
        <v>5</v>
      </c>
      <c r="E451" s="55">
        <v>450</v>
      </c>
      <c r="F451" s="54">
        <f t="shared" ca="1" si="7"/>
        <v>2250</v>
      </c>
    </row>
    <row r="452" spans="1:9" ht="14.1" customHeight="1" x14ac:dyDescent="0.25">
      <c r="A452" s="64" t="s">
        <v>511</v>
      </c>
      <c r="B452" s="53" t="str">
        <f ca="1">IFERROR(INDEX(UNSPSCDes,MATCH(INDIRECT(ADDRESS(ROW(),COLUMN()-1,4)),UNSPSCCode,0)),IF(INDIRECT(ADDRESS(ROW(),COLUMN()-1,4))="46182301","Salvavidas o equipo salvavidas",""))</f>
        <v>Salvavidas o equipo salvavidas</v>
      </c>
      <c r="C452" s="65" t="str">
        <f>IFERROR(VLOOKUP("UD",'Informacion '!P:Q,2,FALSE),"")</f>
        <v>Unidad</v>
      </c>
      <c r="D452" s="64">
        <v>4</v>
      </c>
      <c r="E452" s="55">
        <v>900</v>
      </c>
      <c r="F452" s="54">
        <f t="shared" ca="1" si="7"/>
        <v>3600</v>
      </c>
    </row>
    <row r="453" spans="1:9" ht="14.1" customHeight="1" x14ac:dyDescent="0.25">
      <c r="A453" s="64" t="s">
        <v>815</v>
      </c>
      <c r="B453" s="53" t="str">
        <f ca="1">IFERROR(INDEX(UNSPSCDes,MATCH(INDIRECT(ADDRESS(ROW(),COLUMN()-1,4)),UNSPSCCode,0)),IF(INDIRECT(ADDRESS(ROW(),COLUMN()-1,4))="46161604","Chalecos o protectores salvavidas",""))</f>
        <v>Chalecos o protectores salvavidas</v>
      </c>
      <c r="C453" s="65" t="str">
        <f>IFERROR(VLOOKUP("UD",'Informacion '!P:Q,2,FALSE),"")</f>
        <v>Unidad</v>
      </c>
      <c r="D453" s="64">
        <v>1</v>
      </c>
      <c r="E453" s="55">
        <v>18000</v>
      </c>
      <c r="F453" s="54">
        <f t="shared" ca="1" si="7"/>
        <v>18000</v>
      </c>
    </row>
    <row r="454" spans="1:9" ht="14.1" customHeight="1" x14ac:dyDescent="0.25">
      <c r="A454" s="64" t="s">
        <v>815</v>
      </c>
      <c r="B454" s="53" t="str">
        <f ca="1">IFERROR(INDEX(UNSPSCDes,MATCH(INDIRECT(ADDRESS(ROW(),COLUMN()-1,4)),UNSPSCCode,0)),IF(INDIRECT(ADDRESS(ROW(),COLUMN()-1,4))="46161604","Chalecos o protectores salvavidas",""))</f>
        <v>Chalecos o protectores salvavidas</v>
      </c>
      <c r="C454" s="65" t="str">
        <f>IFERROR(VLOOKUP("UD",'Informacion '!P:Q,2,FALSE),"")</f>
        <v>Unidad</v>
      </c>
      <c r="D454" s="64">
        <v>1</v>
      </c>
      <c r="E454" s="55">
        <v>18000</v>
      </c>
      <c r="F454" s="54">
        <f t="shared" ca="1" si="7"/>
        <v>18000</v>
      </c>
    </row>
    <row r="455" spans="1:9" ht="14.1" customHeight="1" x14ac:dyDescent="0.25">
      <c r="A455" s="64" t="s">
        <v>130</v>
      </c>
      <c r="B455" s="53" t="str">
        <f ca="1">IFERROR(INDEX(UNSPSCDes,MATCH(INDIRECT(ADDRESS(ROW(),COLUMN()-1,4)),UNSPSCCode,0)),IF(INDIRECT(ADDRESS(ROW(),COLUMN()-1,4))="46181522","Capuchas de seguridad",""))</f>
        <v>Capuchas de seguridad</v>
      </c>
      <c r="C455" s="65" t="str">
        <f>IFERROR(VLOOKUP("UD",'Informacion '!P:Q,2,FALSE),"")</f>
        <v>Unidad</v>
      </c>
      <c r="D455" s="64">
        <v>2</v>
      </c>
      <c r="E455" s="55">
        <v>1800</v>
      </c>
      <c r="F455" s="54">
        <f t="shared" ca="1" si="7"/>
        <v>3600</v>
      </c>
    </row>
    <row r="456" spans="1:9" ht="14.1" customHeight="1" x14ac:dyDescent="0.25">
      <c r="A456" s="64" t="s">
        <v>130</v>
      </c>
      <c r="B456" s="53" t="str">
        <f ca="1">IFERROR(INDEX(UNSPSCDes,MATCH(INDIRECT(ADDRESS(ROW(),COLUMN()-1,4)),UNSPSCCode,0)),IF(INDIRECT(ADDRESS(ROW(),COLUMN()-1,4))="46181522","Capuchas de seguridad",""))</f>
        <v>Capuchas de seguridad</v>
      </c>
      <c r="C456" s="65" t="str">
        <f>IFERROR(VLOOKUP("UD",'Informacion '!P:Q,2,FALSE),"")</f>
        <v>Unidad</v>
      </c>
      <c r="D456" s="64">
        <v>2</v>
      </c>
      <c r="E456" s="55">
        <v>1800</v>
      </c>
      <c r="F456" s="54">
        <f t="shared" ca="1" si="7"/>
        <v>3600</v>
      </c>
    </row>
    <row r="457" spans="1:9" ht="14.1" customHeight="1" x14ac:dyDescent="0.25">
      <c r="A457" s="64" t="s">
        <v>130</v>
      </c>
      <c r="B457" s="53" t="str">
        <f ca="1">IFERROR(INDEX(UNSPSCDes,MATCH(INDIRECT(ADDRESS(ROW(),COLUMN()-1,4)),UNSPSCCode,0)),IF(INDIRECT(ADDRESS(ROW(),COLUMN()-1,4))="46181522","Capuchas de seguridad",""))</f>
        <v>Capuchas de seguridad</v>
      </c>
      <c r="C457" s="65" t="str">
        <f>IFERROR(VLOOKUP("UD",'Informacion '!P:Q,2,FALSE),"")</f>
        <v>Unidad</v>
      </c>
      <c r="D457" s="64">
        <v>2</v>
      </c>
      <c r="E457" s="55">
        <v>1800</v>
      </c>
      <c r="F457" s="54">
        <f t="shared" ca="1" si="7"/>
        <v>3600</v>
      </c>
    </row>
    <row r="458" spans="1:9" ht="14.1" customHeight="1" x14ac:dyDescent="0.25">
      <c r="A458" s="64" t="s">
        <v>492</v>
      </c>
      <c r="B458" s="53" t="str">
        <f ca="1">IFERROR(INDEX(UNSPSCDes,MATCH(INDIRECT(ADDRESS(ROW(),COLUMN()-1,4)),UNSPSCCode,0)),IF(INDIRECT(ADDRESS(ROW(),COLUMN()-1,4))="49141505","Máscaras o aletas o esnórqueles",""))</f>
        <v>Máscaras o aletas o esnórqueles</v>
      </c>
      <c r="C458" s="65" t="str">
        <f>IFERROR(VLOOKUP("UD",'Informacion '!P:Q,2,FALSE),"")</f>
        <v>Unidad</v>
      </c>
      <c r="D458" s="64">
        <v>10</v>
      </c>
      <c r="E458" s="55">
        <v>1500</v>
      </c>
      <c r="F458" s="54">
        <f t="shared" ca="1" si="7"/>
        <v>15000</v>
      </c>
    </row>
    <row r="459" spans="1:9" ht="14.1" customHeight="1" x14ac:dyDescent="0.25">
      <c r="A459" s="64" t="s">
        <v>528</v>
      </c>
      <c r="B459" s="53" t="str">
        <f ca="1">IFERROR(INDEX(UNSPSCDes,MATCH(INDIRECT(ADDRESS(ROW(),COLUMN()-1,4)),UNSPSCCode,0)),IF(INDIRECT(ADDRESS(ROW(),COLUMN()-1,4))="49141502","Tanques de buceo",""))</f>
        <v>Tanques de buceo</v>
      </c>
      <c r="C459" s="65" t="str">
        <f>IFERROR(VLOOKUP("UD",'Informacion '!P:Q,2,FALSE),"")</f>
        <v>Unidad</v>
      </c>
      <c r="D459" s="64">
        <v>3</v>
      </c>
      <c r="E459" s="55">
        <v>10000</v>
      </c>
      <c r="F459" s="54">
        <f t="shared" ca="1" si="7"/>
        <v>30000</v>
      </c>
    </row>
    <row r="460" spans="1:9" ht="14.1" customHeight="1" x14ac:dyDescent="0.25">
      <c r="A460" s="64" t="s">
        <v>492</v>
      </c>
      <c r="B460" s="53" t="str">
        <f ca="1">IFERROR(INDEX(UNSPSCDes,MATCH(INDIRECT(ADDRESS(ROW(),COLUMN()-1,4)),UNSPSCCode,0)),IF(INDIRECT(ADDRESS(ROW(),COLUMN()-1,4))="49141505","Máscaras o aletas o esnórqueles",""))</f>
        <v>Máscaras o aletas o esnórqueles</v>
      </c>
      <c r="C460" s="65" t="str">
        <f>IFERROR(VLOOKUP("UD",'Informacion '!P:Q,2,FALSE),"")</f>
        <v>Unidad</v>
      </c>
      <c r="D460" s="64">
        <v>3</v>
      </c>
      <c r="E460" s="55">
        <v>500</v>
      </c>
      <c r="F460" s="54">
        <f t="shared" ca="1" si="7"/>
        <v>1500</v>
      </c>
    </row>
    <row r="461" spans="1:9" ht="14.1" customHeight="1" x14ac:dyDescent="0.25">
      <c r="A461" s="64" t="s">
        <v>375</v>
      </c>
      <c r="B461" s="53" t="str">
        <f ca="1">IFERROR(INDEX(UNSPSCDes,MATCH(INDIRECT(ADDRESS(ROW(),COLUMN()-1,4)),UNSPSCCode,0)),IF(INDIRECT(ADDRESS(ROW(),COLUMN()-1,4))="49161502","Guantes de beisbol",""))</f>
        <v>Guantes de beisbol</v>
      </c>
      <c r="C461" s="65" t="str">
        <f>IFERROR(VLOOKUP("UD",'Informacion '!P:Q,2,FALSE),"")</f>
        <v>Unidad</v>
      </c>
      <c r="D461" s="64">
        <v>10</v>
      </c>
      <c r="E461" s="55">
        <v>350</v>
      </c>
      <c r="F461" s="54">
        <f t="shared" ca="1" si="7"/>
        <v>3500</v>
      </c>
    </row>
    <row r="462" spans="1:9" ht="14.1" customHeight="1" x14ac:dyDescent="0.25">
      <c r="E462" s="66" t="s">
        <v>581</v>
      </c>
      <c r="F462" s="58">
        <f ca="1">SUM(Table21[MONTO TOTAL ESTIMADO])</f>
        <v>283550</v>
      </c>
      <c r="G462" s="26" t="str">
        <f>C429</f>
        <v>Bienes</v>
      </c>
      <c r="H462" s="26" t="str">
        <f>E429</f>
        <v>No</v>
      </c>
      <c r="I462" s="26" t="str">
        <f>D429</f>
        <v>Compras Menores</v>
      </c>
    </row>
    <row r="464" spans="1:9" ht="33.950000000000003" customHeight="1" x14ac:dyDescent="0.25">
      <c r="A464" s="48" t="s">
        <v>745</v>
      </c>
      <c r="B464" s="48" t="s">
        <v>7</v>
      </c>
      <c r="C464" s="48" t="s">
        <v>533</v>
      </c>
      <c r="D464" s="48" t="s">
        <v>668</v>
      </c>
      <c r="E464" s="48" t="s">
        <v>495</v>
      </c>
      <c r="F464" s="48" t="s">
        <v>506</v>
      </c>
    </row>
    <row r="465" spans="1:9" ht="14.1" customHeight="1" x14ac:dyDescent="0.25">
      <c r="A465" s="50" t="s">
        <v>4</v>
      </c>
      <c r="B465" s="50" t="s">
        <v>59</v>
      </c>
      <c r="C465" s="50" t="s">
        <v>809</v>
      </c>
      <c r="D465" s="50" t="s">
        <v>792</v>
      </c>
      <c r="E465" s="50" t="s">
        <v>810</v>
      </c>
      <c r="F465" s="50" t="s">
        <v>296</v>
      </c>
    </row>
    <row r="466" spans="1:9" ht="14.1" customHeight="1" x14ac:dyDescent="0.25">
      <c r="A466" s="67" t="s">
        <v>688</v>
      </c>
      <c r="B466" s="51" t="s">
        <v>372</v>
      </c>
      <c r="C466" s="60">
        <v>43956</v>
      </c>
      <c r="D466" s="67" t="s">
        <v>418</v>
      </c>
      <c r="E466" s="62" t="s">
        <v>613</v>
      </c>
      <c r="F466" s="63" t="s">
        <v>122</v>
      </c>
    </row>
    <row r="467" spans="1:9" ht="14.1" customHeight="1" x14ac:dyDescent="0.25">
      <c r="A467" s="68"/>
      <c r="B467" s="51" t="s">
        <v>72</v>
      </c>
      <c r="C467" s="61">
        <f>IF(C466="","",IF(AND(MONTH(C466)&gt;=1,MONTH(C466)&lt;=3),1,IF(AND(MONTH(C466)&gt;=4,MONTH(C466)&lt;=6),2,IF(AND(MONTH(C466)&gt;=7,MONTH(C466)&lt;=9),3,4))))</f>
        <v>2</v>
      </c>
      <c r="D467" s="68"/>
      <c r="E467" s="62" t="s">
        <v>91</v>
      </c>
      <c r="F467" s="63" t="s">
        <v>670</v>
      </c>
    </row>
    <row r="468" spans="1:9" ht="14.1" customHeight="1" x14ac:dyDescent="0.25">
      <c r="A468" s="68"/>
      <c r="B468" s="51" t="s">
        <v>602</v>
      </c>
      <c r="C468" s="60">
        <v>43963</v>
      </c>
      <c r="D468" s="68"/>
      <c r="E468" s="62" t="s">
        <v>121</v>
      </c>
      <c r="F468" s="63" t="s">
        <v>195</v>
      </c>
    </row>
    <row r="469" spans="1:9" ht="14.1" customHeight="1" x14ac:dyDescent="0.25">
      <c r="A469" s="68"/>
      <c r="B469" s="51" t="s">
        <v>72</v>
      </c>
      <c r="C469" s="61">
        <f>IF(C468="","",IF(AND(MONTH(C468)&gt;=1,MONTH(C468)&lt;=3),1,IF(AND(MONTH(C468)&gt;=4,MONTH(C468)&lt;=6),2,IF(AND(MONTH(C468)&gt;=7,MONTH(C468)&lt;=9),3,4))))</f>
        <v>2</v>
      </c>
      <c r="D469" s="68"/>
      <c r="E469" s="62" t="s">
        <v>618</v>
      </c>
      <c r="F469" s="63"/>
    </row>
    <row r="471" spans="1:9" ht="14.1" customHeight="1" x14ac:dyDescent="0.25">
      <c r="A471" s="56" t="s">
        <v>724</v>
      </c>
      <c r="B471" s="56" t="s">
        <v>736</v>
      </c>
      <c r="C471" s="56" t="s">
        <v>718</v>
      </c>
      <c r="D471" s="56" t="s">
        <v>701</v>
      </c>
      <c r="E471" s="56" t="s">
        <v>308</v>
      </c>
      <c r="F471" s="56" t="s">
        <v>703</v>
      </c>
    </row>
    <row r="472" spans="1:9" ht="14.1" customHeight="1" x14ac:dyDescent="0.25">
      <c r="A472" s="64" t="s">
        <v>355</v>
      </c>
      <c r="B472" s="53" t="str">
        <f ca="1">IFERROR(INDEX(UNSPSCDes,MATCH(INDIRECT(ADDRESS(ROW(),COLUMN()-1,4)),UNSPSCCode,0)),IF(INDIRECT(ADDRESS(ROW(),COLUMN()-1,4))="50101538","Verduras frescas",""))</f>
        <v>Verduras frescas</v>
      </c>
      <c r="C472" s="65" t="str">
        <f>IFERROR(VLOOKUP("LB",'Informacion '!P:Q,2,FALSE),"")</f>
        <v>Libra </v>
      </c>
      <c r="D472" s="64">
        <v>1</v>
      </c>
      <c r="E472" s="55">
        <v>400000</v>
      </c>
      <c r="F472" s="54">
        <f ca="1">INDIRECT(ADDRESS(ROW(),COLUMN()-2,4))*INDIRECT(ADDRESS(ROW(),COLUMN()-1,4))</f>
        <v>400000</v>
      </c>
    </row>
    <row r="473" spans="1:9" ht="14.1" customHeight="1" x14ac:dyDescent="0.25">
      <c r="A473" s="64" t="s">
        <v>843</v>
      </c>
      <c r="B473" s="53" t="str">
        <f ca="1">IFERROR(INDEX(UNSPSCDes,MATCH(INDIRECT(ADDRESS(ROW(),COLUMN()-1,4)),UNSPSCCode,0)),IF(INDIRECT(ADDRESS(ROW(),COLUMN()-1,4))="50101634","Fruta fresca",""))</f>
        <v>Fruta fresca</v>
      </c>
      <c r="C473" s="65" t="str">
        <f>IFERROR(VLOOKUP("LB",'Informacion '!P:Q,2,FALSE),"")</f>
        <v>Libra </v>
      </c>
      <c r="D473" s="64">
        <v>1</v>
      </c>
      <c r="E473" s="55">
        <v>200000</v>
      </c>
      <c r="F473" s="54">
        <f ca="1">INDIRECT(ADDRESS(ROW(),COLUMN()-2,4))*INDIRECT(ADDRESS(ROW(),COLUMN()-1,4))</f>
        <v>200000</v>
      </c>
    </row>
    <row r="474" spans="1:9" ht="14.1" customHeight="1" x14ac:dyDescent="0.25">
      <c r="E474" s="66" t="s">
        <v>581</v>
      </c>
      <c r="F474" s="58">
        <f ca="1">SUM(Table22[MONTO TOTAL ESTIMADO])</f>
        <v>600000</v>
      </c>
      <c r="G474" s="26" t="str">
        <f>C465</f>
        <v>Bienes</v>
      </c>
      <c r="H474" s="26" t="str">
        <f>E465</f>
        <v>No</v>
      </c>
      <c r="I474" s="26" t="str">
        <f>D465</f>
        <v>Compras Menores</v>
      </c>
    </row>
    <row r="476" spans="1:9" ht="33.950000000000003" customHeight="1" x14ac:dyDescent="0.25">
      <c r="A476" s="48" t="s">
        <v>745</v>
      </c>
      <c r="B476" s="48" t="s">
        <v>7</v>
      </c>
      <c r="C476" s="48" t="s">
        <v>533</v>
      </c>
      <c r="D476" s="48" t="s">
        <v>668</v>
      </c>
      <c r="E476" s="48" t="s">
        <v>495</v>
      </c>
      <c r="F476" s="48" t="s">
        <v>506</v>
      </c>
    </row>
    <row r="477" spans="1:9" ht="14.1" customHeight="1" x14ac:dyDescent="0.25">
      <c r="A477" s="50" t="s">
        <v>394</v>
      </c>
      <c r="B477" s="50" t="s">
        <v>661</v>
      </c>
      <c r="C477" s="50" t="s">
        <v>809</v>
      </c>
      <c r="D477" s="50" t="s">
        <v>792</v>
      </c>
      <c r="E477" s="50" t="s">
        <v>810</v>
      </c>
      <c r="F477" s="50" t="s">
        <v>296</v>
      </c>
    </row>
    <row r="478" spans="1:9" ht="14.1" customHeight="1" x14ac:dyDescent="0.25">
      <c r="A478" s="67" t="s">
        <v>688</v>
      </c>
      <c r="B478" s="51" t="s">
        <v>372</v>
      </c>
      <c r="C478" s="60">
        <v>44057</v>
      </c>
      <c r="D478" s="67" t="s">
        <v>418</v>
      </c>
      <c r="E478" s="62" t="s">
        <v>613</v>
      </c>
      <c r="F478" s="63" t="s">
        <v>122</v>
      </c>
    </row>
    <row r="479" spans="1:9" ht="14.1" customHeight="1" x14ac:dyDescent="0.25">
      <c r="A479" s="68"/>
      <c r="B479" s="51" t="s">
        <v>72</v>
      </c>
      <c r="C479" s="61">
        <f>IF(C478="","",IF(AND(MONTH(C478)&gt;=1,MONTH(C478)&lt;=3),1,IF(AND(MONTH(C478)&gt;=4,MONTH(C478)&lt;=6),2,IF(AND(MONTH(C478)&gt;=7,MONTH(C478)&lt;=9),3,4))))</f>
        <v>3</v>
      </c>
      <c r="D479" s="68"/>
      <c r="E479" s="62" t="s">
        <v>91</v>
      </c>
      <c r="F479" s="63" t="s">
        <v>670</v>
      </c>
    </row>
    <row r="480" spans="1:9" ht="14.1" customHeight="1" x14ac:dyDescent="0.25">
      <c r="A480" s="68"/>
      <c r="B480" s="51" t="s">
        <v>602</v>
      </c>
      <c r="C480" s="60">
        <v>44063</v>
      </c>
      <c r="D480" s="68"/>
      <c r="E480" s="62" t="s">
        <v>121</v>
      </c>
      <c r="F480" s="63" t="s">
        <v>195</v>
      </c>
    </row>
    <row r="481" spans="1:9" ht="14.1" customHeight="1" x14ac:dyDescent="0.25">
      <c r="A481" s="68"/>
      <c r="B481" s="51" t="s">
        <v>72</v>
      </c>
      <c r="C481" s="61">
        <f>IF(C480="","",IF(AND(MONTH(C480)&gt;=1,MONTH(C480)&lt;=3),1,IF(AND(MONTH(C480)&gt;=4,MONTH(C480)&lt;=6),2,IF(AND(MONTH(C480)&gt;=7,MONTH(C480)&lt;=9),3,4))))</f>
        <v>3</v>
      </c>
      <c r="D481" s="68"/>
      <c r="E481" s="62" t="s">
        <v>618</v>
      </c>
      <c r="F481" s="63"/>
    </row>
    <row r="483" spans="1:9" ht="14.1" customHeight="1" x14ac:dyDescent="0.25">
      <c r="A483" s="56" t="s">
        <v>724</v>
      </c>
      <c r="B483" s="56" t="s">
        <v>736</v>
      </c>
      <c r="C483" s="56" t="s">
        <v>718</v>
      </c>
      <c r="D483" s="56" t="s">
        <v>701</v>
      </c>
      <c r="E483" s="56" t="s">
        <v>308</v>
      </c>
      <c r="F483" s="56" t="s">
        <v>703</v>
      </c>
    </row>
    <row r="484" spans="1:9" ht="14.1" customHeight="1" x14ac:dyDescent="0.25">
      <c r="A484" s="64" t="s">
        <v>355</v>
      </c>
      <c r="B484" s="53" t="str">
        <f ca="1">IFERROR(INDEX(UNSPSCDes,MATCH(INDIRECT(ADDRESS(ROW(),COLUMN()-1,4)),UNSPSCCode,0)),IF(INDIRECT(ADDRESS(ROW(),COLUMN()-1,4))="50101538","Verduras frescas",""))</f>
        <v>Verduras frescas</v>
      </c>
      <c r="C484" s="65" t="str">
        <f>IFERROR(VLOOKUP("LB",'Informacion '!P:Q,2,FALSE),"")</f>
        <v>Libra </v>
      </c>
      <c r="D484" s="64">
        <v>1</v>
      </c>
      <c r="E484" s="55">
        <v>380000</v>
      </c>
      <c r="F484" s="54">
        <f ca="1">INDIRECT(ADDRESS(ROW(),COLUMN()-2,4))*INDIRECT(ADDRESS(ROW(),COLUMN()-1,4))</f>
        <v>380000</v>
      </c>
    </row>
    <row r="485" spans="1:9" ht="14.1" customHeight="1" x14ac:dyDescent="0.25">
      <c r="A485" s="64" t="s">
        <v>843</v>
      </c>
      <c r="B485" s="53" t="str">
        <f ca="1">IFERROR(INDEX(UNSPSCDes,MATCH(INDIRECT(ADDRESS(ROW(),COLUMN()-1,4)),UNSPSCCode,0)),IF(INDIRECT(ADDRESS(ROW(),COLUMN()-1,4))="50101634","Fruta fresca",""))</f>
        <v>Fruta fresca</v>
      </c>
      <c r="C485" s="65" t="str">
        <f>IFERROR(VLOOKUP("LB",'Informacion '!P:Q,2,FALSE),"")</f>
        <v>Libra </v>
      </c>
      <c r="D485" s="64">
        <v>1</v>
      </c>
      <c r="E485" s="55">
        <v>220000</v>
      </c>
      <c r="F485" s="54">
        <f ca="1">INDIRECT(ADDRESS(ROW(),COLUMN()-2,4))*INDIRECT(ADDRESS(ROW(),COLUMN()-1,4))</f>
        <v>220000</v>
      </c>
    </row>
    <row r="486" spans="1:9" ht="14.1" customHeight="1" x14ac:dyDescent="0.25">
      <c r="E486" s="66" t="s">
        <v>581</v>
      </c>
      <c r="F486" s="58">
        <f ca="1">SUM(Table23[MONTO TOTAL ESTIMADO])</f>
        <v>600000</v>
      </c>
      <c r="G486" s="26" t="str">
        <f>C477</f>
        <v>Bienes</v>
      </c>
      <c r="H486" s="26" t="str">
        <f>E477</f>
        <v>No</v>
      </c>
      <c r="I486" s="26" t="str">
        <f>D477</f>
        <v>Compras Menores</v>
      </c>
    </row>
    <row r="488" spans="1:9" ht="33.950000000000003" customHeight="1" x14ac:dyDescent="0.25">
      <c r="A488" s="48" t="s">
        <v>745</v>
      </c>
      <c r="B488" s="48" t="s">
        <v>7</v>
      </c>
      <c r="C488" s="48" t="s">
        <v>533</v>
      </c>
      <c r="D488" s="48" t="s">
        <v>668</v>
      </c>
      <c r="E488" s="48" t="s">
        <v>495</v>
      </c>
      <c r="F488" s="48" t="s">
        <v>506</v>
      </c>
    </row>
    <row r="489" spans="1:9" ht="14.1" customHeight="1" x14ac:dyDescent="0.25">
      <c r="A489" s="50" t="s">
        <v>10</v>
      </c>
      <c r="B489" s="50" t="s">
        <v>490</v>
      </c>
      <c r="C489" s="50" t="s">
        <v>809</v>
      </c>
      <c r="D489" s="50" t="s">
        <v>792</v>
      </c>
      <c r="E489" s="50" t="s">
        <v>810</v>
      </c>
      <c r="F489" s="50" t="s">
        <v>296</v>
      </c>
    </row>
    <row r="490" spans="1:9" ht="14.1" customHeight="1" x14ac:dyDescent="0.25">
      <c r="A490" s="67" t="s">
        <v>688</v>
      </c>
      <c r="B490" s="51" t="s">
        <v>372</v>
      </c>
      <c r="C490" s="60">
        <v>43871</v>
      </c>
      <c r="D490" s="67" t="s">
        <v>418</v>
      </c>
      <c r="E490" s="62" t="s">
        <v>613</v>
      </c>
      <c r="F490" s="63" t="s">
        <v>122</v>
      </c>
    </row>
    <row r="491" spans="1:9" ht="14.1" customHeight="1" x14ac:dyDescent="0.25">
      <c r="A491" s="68"/>
      <c r="B491" s="51" t="s">
        <v>72</v>
      </c>
      <c r="C491" s="61">
        <f>IF(C490="","",IF(AND(MONTH(C490)&gt;=1,MONTH(C490)&lt;=3),1,IF(AND(MONTH(C490)&gt;=4,MONTH(C490)&lt;=6),2,IF(AND(MONTH(C490)&gt;=7,MONTH(C490)&lt;=9),3,4))))</f>
        <v>1</v>
      </c>
      <c r="D491" s="68"/>
      <c r="E491" s="62" t="s">
        <v>91</v>
      </c>
      <c r="F491" s="63" t="s">
        <v>670</v>
      </c>
    </row>
    <row r="492" spans="1:9" ht="14.1" customHeight="1" x14ac:dyDescent="0.25">
      <c r="A492" s="68"/>
      <c r="B492" s="51" t="s">
        <v>602</v>
      </c>
      <c r="C492" s="60">
        <v>43875</v>
      </c>
      <c r="D492" s="68"/>
      <c r="E492" s="62" t="s">
        <v>121</v>
      </c>
      <c r="F492" s="63" t="s">
        <v>195</v>
      </c>
    </row>
    <row r="493" spans="1:9" ht="14.1" customHeight="1" x14ac:dyDescent="0.25">
      <c r="A493" s="68"/>
      <c r="B493" s="51" t="s">
        <v>72</v>
      </c>
      <c r="C493" s="61">
        <f>IF(C492="","",IF(AND(MONTH(C492)&gt;=1,MONTH(C492)&lt;=3),1,IF(AND(MONTH(C492)&gt;=4,MONTH(C492)&lt;=6),2,IF(AND(MONTH(C492)&gt;=7,MONTH(C492)&lt;=9),3,4))))</f>
        <v>1</v>
      </c>
      <c r="D493" s="68"/>
      <c r="E493" s="62" t="s">
        <v>618</v>
      </c>
      <c r="F493" s="63"/>
    </row>
    <row r="495" spans="1:9" ht="14.1" customHeight="1" x14ac:dyDescent="0.25">
      <c r="A495" s="56" t="s">
        <v>724</v>
      </c>
      <c r="B495" s="56" t="s">
        <v>736</v>
      </c>
      <c r="C495" s="56" t="s">
        <v>718</v>
      </c>
      <c r="D495" s="56" t="s">
        <v>701</v>
      </c>
      <c r="E495" s="56" t="s">
        <v>308</v>
      </c>
      <c r="F495" s="56" t="s">
        <v>703</v>
      </c>
    </row>
    <row r="496" spans="1:9" ht="14.1" customHeight="1" x14ac:dyDescent="0.25">
      <c r="A496" s="64" t="s">
        <v>6</v>
      </c>
      <c r="B496" s="53" t="str">
        <f ca="1">IFERROR(INDEX(UNSPSCDes,MATCH(INDIRECT(ADDRESS(ROW(),COLUMN()-1,4)),UNSPSCCode,0)),IF(INDIRECT(ADDRESS(ROW(),COLUMN()-1,4))="50121539","Pescado fresco",""))</f>
        <v>Pescado fresco</v>
      </c>
      <c r="C496" s="65" t="str">
        <f>IFERROR(VLOOKUP("LB",'Informacion '!P:Q,2,FALSE),"")</f>
        <v>Libra </v>
      </c>
      <c r="D496" s="64">
        <v>4800</v>
      </c>
      <c r="E496" s="55">
        <v>28</v>
      </c>
      <c r="F496" s="54">
        <f ca="1">INDIRECT(ADDRESS(ROW(),COLUMN()-2,4))*INDIRECT(ADDRESS(ROW(),COLUMN()-1,4))</f>
        <v>134400</v>
      </c>
    </row>
    <row r="497" spans="1:9" ht="14.1" customHeight="1" x14ac:dyDescent="0.25">
      <c r="A497" s="64" t="s">
        <v>214</v>
      </c>
      <c r="B497" s="53" t="str">
        <f ca="1">IFERROR(INDEX(UNSPSCDes,MATCH(INDIRECT(ADDRESS(ROW(),COLUMN()-1,4)),UNSPSCCode,0)),IF(INDIRECT(ADDRESS(ROW(),COLUMN()-1,4))="10101808","Calamar vivo",""))</f>
        <v>Calamar vivo</v>
      </c>
      <c r="C497" s="65" t="str">
        <f>IFERROR(VLOOKUP("LB",'Informacion '!P:Q,2,FALSE),"")</f>
        <v>Libra </v>
      </c>
      <c r="D497" s="64">
        <v>480</v>
      </c>
      <c r="E497" s="55">
        <v>68</v>
      </c>
      <c r="F497" s="54">
        <f ca="1">INDIRECT(ADDRESS(ROW(),COLUMN()-2,4))*INDIRECT(ADDRESS(ROW(),COLUMN()-1,4))</f>
        <v>32640</v>
      </c>
    </row>
    <row r="498" spans="1:9" ht="14.1" customHeight="1" x14ac:dyDescent="0.25">
      <c r="A498" s="64" t="s">
        <v>761</v>
      </c>
      <c r="B498" s="53" t="str">
        <f ca="1">IFERROR(INDEX(UNSPSCDes,MATCH(INDIRECT(ADDRESS(ROW(),COLUMN()-1,4)),UNSPSCCode,0)),IF(INDIRECT(ADDRESS(ROW(),COLUMN()-1,4))="10101703","Tilapia viva",""))</f>
        <v>Tilapia viva</v>
      </c>
      <c r="C498" s="65" t="str">
        <f>IFERROR(VLOOKUP("LB",'Informacion '!P:Q,2,FALSE),"")</f>
        <v>Libra </v>
      </c>
      <c r="D498" s="64">
        <v>120</v>
      </c>
      <c r="E498" s="55">
        <v>67</v>
      </c>
      <c r="F498" s="54">
        <f ca="1">INDIRECT(ADDRESS(ROW(),COLUMN()-2,4))*INDIRECT(ADDRESS(ROW(),COLUMN()-1,4))</f>
        <v>8040</v>
      </c>
    </row>
    <row r="499" spans="1:9" ht="14.1" customHeight="1" x14ac:dyDescent="0.25">
      <c r="E499" s="66" t="s">
        <v>581</v>
      </c>
      <c r="F499" s="58">
        <f ca="1">SUM(Table24[MONTO TOTAL ESTIMADO])</f>
        <v>175080</v>
      </c>
      <c r="G499" s="26" t="str">
        <f>C489</f>
        <v>Bienes</v>
      </c>
      <c r="H499" s="26" t="str">
        <f>E489</f>
        <v>No</v>
      </c>
      <c r="I499" s="26" t="str">
        <f>D489</f>
        <v>Compras Menores</v>
      </c>
    </row>
    <row r="501" spans="1:9" ht="33.950000000000003" customHeight="1" x14ac:dyDescent="0.25">
      <c r="A501" s="48" t="s">
        <v>745</v>
      </c>
      <c r="B501" s="48" t="s">
        <v>7</v>
      </c>
      <c r="C501" s="48" t="s">
        <v>533</v>
      </c>
      <c r="D501" s="48" t="s">
        <v>668</v>
      </c>
      <c r="E501" s="48" t="s">
        <v>495</v>
      </c>
      <c r="F501" s="48" t="s">
        <v>506</v>
      </c>
    </row>
    <row r="502" spans="1:9" ht="14.1" customHeight="1" x14ac:dyDescent="0.25">
      <c r="A502" s="50" t="s">
        <v>239</v>
      </c>
      <c r="B502" s="50" t="s">
        <v>221</v>
      </c>
      <c r="C502" s="50" t="s">
        <v>809</v>
      </c>
      <c r="D502" s="50" t="s">
        <v>74</v>
      </c>
      <c r="E502" s="50" t="s">
        <v>810</v>
      </c>
      <c r="F502" s="50"/>
    </row>
    <row r="503" spans="1:9" ht="14.1" customHeight="1" x14ac:dyDescent="0.25">
      <c r="A503" s="67" t="s">
        <v>688</v>
      </c>
      <c r="B503" s="51" t="s">
        <v>372</v>
      </c>
      <c r="C503" s="60">
        <v>43991</v>
      </c>
      <c r="D503" s="67" t="s">
        <v>418</v>
      </c>
      <c r="E503" s="62" t="s">
        <v>613</v>
      </c>
      <c r="F503" s="63" t="s">
        <v>122</v>
      </c>
    </row>
    <row r="504" spans="1:9" ht="14.1" customHeight="1" x14ac:dyDescent="0.25">
      <c r="A504" s="68"/>
      <c r="B504" s="51" t="s">
        <v>72</v>
      </c>
      <c r="C504" s="61">
        <f>IF(C503="","",IF(AND(MONTH(C503)&gt;=1,MONTH(C503)&lt;=3),1,IF(AND(MONTH(C503)&gt;=4,MONTH(C503)&lt;=6),2,IF(AND(MONTH(C503)&gt;=7,MONTH(C503)&lt;=9),3,4))))</f>
        <v>2</v>
      </c>
      <c r="D504" s="68"/>
      <c r="E504" s="62" t="s">
        <v>91</v>
      </c>
      <c r="F504" s="63" t="s">
        <v>670</v>
      </c>
    </row>
    <row r="505" spans="1:9" ht="14.1" customHeight="1" x14ac:dyDescent="0.25">
      <c r="A505" s="68"/>
      <c r="B505" s="51" t="s">
        <v>602</v>
      </c>
      <c r="C505" s="60">
        <v>44001</v>
      </c>
      <c r="D505" s="68"/>
      <c r="E505" s="62" t="s">
        <v>121</v>
      </c>
      <c r="F505" s="63" t="s">
        <v>195</v>
      </c>
    </row>
    <row r="506" spans="1:9" ht="14.1" customHeight="1" x14ac:dyDescent="0.25">
      <c r="A506" s="68"/>
      <c r="B506" s="51" t="s">
        <v>72</v>
      </c>
      <c r="C506" s="61">
        <f>IF(C505="","",IF(AND(MONTH(C505)&gt;=1,MONTH(C505)&lt;=3),1,IF(AND(MONTH(C505)&gt;=4,MONTH(C505)&lt;=6),2,IF(AND(MONTH(C505)&gt;=7,MONTH(C505)&lt;=9),3,4))))</f>
        <v>2</v>
      </c>
      <c r="D506" s="68"/>
      <c r="E506" s="62" t="s">
        <v>618</v>
      </c>
      <c r="F506" s="63"/>
    </row>
    <row r="508" spans="1:9" ht="14.1" customHeight="1" x14ac:dyDescent="0.25">
      <c r="A508" s="56" t="s">
        <v>724</v>
      </c>
      <c r="B508" s="56" t="s">
        <v>736</v>
      </c>
      <c r="C508" s="56" t="s">
        <v>718</v>
      </c>
      <c r="D508" s="56" t="s">
        <v>701</v>
      </c>
      <c r="E508" s="56" t="s">
        <v>308</v>
      </c>
      <c r="F508" s="56" t="s">
        <v>703</v>
      </c>
    </row>
    <row r="509" spans="1:9" ht="14.1" customHeight="1" x14ac:dyDescent="0.25">
      <c r="A509" s="64" t="s">
        <v>589</v>
      </c>
      <c r="B509" s="53" t="str">
        <f ca="1">IFERROR(INDEX(UNSPSCDes,MATCH(INDIRECT(ADDRESS(ROW(),COLUMN()-1,4)),UNSPSCCode,0)),IF(INDIRECT(ADDRESS(ROW(),COLUMN()-1,4))="15101506","Gasolina",""))</f>
        <v>Gasolina</v>
      </c>
      <c r="C509" s="65" t="str">
        <f>IFERROR(VLOOKUP("UD",'Informacion '!P:Q,2,FALSE),"")</f>
        <v>Unidad</v>
      </c>
      <c r="D509" s="64">
        <v>500</v>
      </c>
      <c r="E509" s="55">
        <v>200</v>
      </c>
      <c r="F509" s="54">
        <f ca="1">INDIRECT(ADDRESS(ROW(),COLUMN()-2,4))*INDIRECT(ADDRESS(ROW(),COLUMN()-1,4))</f>
        <v>100000</v>
      </c>
    </row>
    <row r="510" spans="1:9" ht="14.1" customHeight="1" x14ac:dyDescent="0.25">
      <c r="A510" s="64" t="s">
        <v>589</v>
      </c>
      <c r="B510" s="53" t="str">
        <f ca="1">IFERROR(INDEX(UNSPSCDes,MATCH(INDIRECT(ADDRESS(ROW(),COLUMN()-1,4)),UNSPSCCode,0)),IF(INDIRECT(ADDRESS(ROW(),COLUMN()-1,4))="15101506","Gasolina",""))</f>
        <v>Gasolina</v>
      </c>
      <c r="C510" s="65" t="str">
        <f>IFERROR(VLOOKUP("UD",'Informacion '!P:Q,2,FALSE),"")</f>
        <v>Unidad</v>
      </c>
      <c r="D510" s="64">
        <v>500</v>
      </c>
      <c r="E510" s="55">
        <v>300</v>
      </c>
      <c r="F510" s="54">
        <f ca="1">INDIRECT(ADDRESS(ROW(),COLUMN()-2,4))*INDIRECT(ADDRESS(ROW(),COLUMN()-1,4))</f>
        <v>150000</v>
      </c>
    </row>
    <row r="511" spans="1:9" ht="14.1" customHeight="1" x14ac:dyDescent="0.25">
      <c r="A511" s="64" t="s">
        <v>589</v>
      </c>
      <c r="B511" s="53" t="str">
        <f ca="1">IFERROR(INDEX(UNSPSCDes,MATCH(INDIRECT(ADDRESS(ROW(),COLUMN()-1,4)),UNSPSCCode,0)),IF(INDIRECT(ADDRESS(ROW(),COLUMN()-1,4))="15101506","Gasolina",""))</f>
        <v>Gasolina</v>
      </c>
      <c r="C511" s="65" t="str">
        <f>IFERROR(VLOOKUP("UD",'Informacion '!P:Q,2,FALSE),"")</f>
        <v>Unidad</v>
      </c>
      <c r="D511" s="64">
        <v>500</v>
      </c>
      <c r="E511" s="55">
        <v>500</v>
      </c>
      <c r="F511" s="54">
        <f ca="1">INDIRECT(ADDRESS(ROW(),COLUMN()-2,4))*INDIRECT(ADDRESS(ROW(),COLUMN()-1,4))</f>
        <v>250000</v>
      </c>
    </row>
    <row r="512" spans="1:9" ht="14.1" customHeight="1" x14ac:dyDescent="0.25">
      <c r="A512" s="64" t="s">
        <v>194</v>
      </c>
      <c r="B512" s="53" t="str">
        <f ca="1">IFERROR(INDEX(UNSPSCDes,MATCH(INDIRECT(ADDRESS(ROW(),COLUMN()-1,4)),UNSPSCCode,0)),IF(INDIRECT(ADDRESS(ROW(),COLUMN()-1,4))="15101505","Combustible diesel",""))</f>
        <v>Combustible diesel</v>
      </c>
      <c r="C512" s="65" t="str">
        <f>IFERROR(VLOOKUP("GAL",'Informacion '!P:Q,2,FALSE),"")</f>
        <v>Galón</v>
      </c>
      <c r="D512" s="64">
        <v>3000</v>
      </c>
      <c r="E512" s="55">
        <v>200</v>
      </c>
      <c r="F512" s="54">
        <f ca="1">INDIRECT(ADDRESS(ROW(),COLUMN()-2,4))*INDIRECT(ADDRESS(ROW(),COLUMN()-1,4))</f>
        <v>600000</v>
      </c>
    </row>
    <row r="513" spans="1:9" ht="14.1" customHeight="1" x14ac:dyDescent="0.25">
      <c r="E513" s="66" t="s">
        <v>581</v>
      </c>
      <c r="F513" s="58">
        <f ca="1">SUM(Table25[MONTO TOTAL ESTIMADO])</f>
        <v>1100000</v>
      </c>
      <c r="G513" s="26" t="str">
        <f>C502</f>
        <v>Bienes</v>
      </c>
      <c r="H513" s="26" t="str">
        <f>E502</f>
        <v>No</v>
      </c>
      <c r="I513" s="26" t="str">
        <f>D502</f>
        <v>Comparacion de Precios</v>
      </c>
    </row>
    <row r="515" spans="1:9" ht="33.950000000000003" customHeight="1" x14ac:dyDescent="0.25">
      <c r="A515" s="48" t="s">
        <v>745</v>
      </c>
      <c r="B515" s="48" t="s">
        <v>7</v>
      </c>
      <c r="C515" s="48" t="s">
        <v>533</v>
      </c>
      <c r="D515" s="48" t="s">
        <v>668</v>
      </c>
      <c r="E515" s="48" t="s">
        <v>495</v>
      </c>
      <c r="F515" s="48" t="s">
        <v>506</v>
      </c>
    </row>
    <row r="516" spans="1:9" ht="14.1" customHeight="1" x14ac:dyDescent="0.25">
      <c r="A516" s="50" t="s">
        <v>397</v>
      </c>
      <c r="B516" s="50" t="s">
        <v>434</v>
      </c>
      <c r="C516" s="50" t="s">
        <v>809</v>
      </c>
      <c r="D516" s="50" t="s">
        <v>792</v>
      </c>
      <c r="E516" s="50" t="s">
        <v>810</v>
      </c>
      <c r="F516" s="50" t="s">
        <v>296</v>
      </c>
    </row>
    <row r="517" spans="1:9" ht="14.1" customHeight="1" x14ac:dyDescent="0.25">
      <c r="A517" s="67" t="s">
        <v>688</v>
      </c>
      <c r="B517" s="51" t="s">
        <v>372</v>
      </c>
      <c r="C517" s="60">
        <v>43979</v>
      </c>
      <c r="D517" s="67" t="s">
        <v>418</v>
      </c>
      <c r="E517" s="62" t="s">
        <v>613</v>
      </c>
      <c r="F517" s="63" t="s">
        <v>122</v>
      </c>
    </row>
    <row r="518" spans="1:9" ht="14.1" customHeight="1" x14ac:dyDescent="0.25">
      <c r="A518" s="68"/>
      <c r="B518" s="51" t="s">
        <v>72</v>
      </c>
      <c r="C518" s="61">
        <f>IF(C517="","",IF(AND(MONTH(C517)&gt;=1,MONTH(C517)&lt;=3),1,IF(AND(MONTH(C517)&gt;=4,MONTH(C517)&lt;=6),2,IF(AND(MONTH(C517)&gt;=7,MONTH(C517)&lt;=9),3,4))))</f>
        <v>2</v>
      </c>
      <c r="D518" s="68"/>
      <c r="E518" s="62" t="s">
        <v>91</v>
      </c>
      <c r="F518" s="63" t="s">
        <v>670</v>
      </c>
    </row>
    <row r="519" spans="1:9" ht="14.1" customHeight="1" x14ac:dyDescent="0.25">
      <c r="A519" s="68"/>
      <c r="B519" s="51" t="s">
        <v>602</v>
      </c>
      <c r="C519" s="60">
        <v>43985</v>
      </c>
      <c r="D519" s="68"/>
      <c r="E519" s="62" t="s">
        <v>121</v>
      </c>
      <c r="F519" s="63" t="s">
        <v>195</v>
      </c>
    </row>
    <row r="520" spans="1:9" ht="14.1" customHeight="1" x14ac:dyDescent="0.25">
      <c r="A520" s="68"/>
      <c r="B520" s="51" t="s">
        <v>72</v>
      </c>
      <c r="C520" s="61">
        <f>IF(C519="","",IF(AND(MONTH(C519)&gt;=1,MONTH(C519)&lt;=3),1,IF(AND(MONTH(C519)&gt;=4,MONTH(C519)&lt;=6),2,IF(AND(MONTH(C519)&gt;=7,MONTH(C519)&lt;=9),3,4))))</f>
        <v>2</v>
      </c>
      <c r="D520" s="68"/>
      <c r="E520" s="62" t="s">
        <v>618</v>
      </c>
      <c r="F520" s="63"/>
    </row>
    <row r="522" spans="1:9" ht="14.1" customHeight="1" x14ac:dyDescent="0.25">
      <c r="A522" s="56" t="s">
        <v>724</v>
      </c>
      <c r="B522" s="56" t="s">
        <v>736</v>
      </c>
      <c r="C522" s="56" t="s">
        <v>718</v>
      </c>
      <c r="D522" s="56" t="s">
        <v>701</v>
      </c>
      <c r="E522" s="56" t="s">
        <v>308</v>
      </c>
      <c r="F522" s="56" t="s">
        <v>703</v>
      </c>
    </row>
    <row r="523" spans="1:9" ht="14.1" customHeight="1" x14ac:dyDescent="0.25">
      <c r="A523" s="64" t="s">
        <v>207</v>
      </c>
      <c r="B523" s="53" t="str">
        <f ca="1">IFERROR(INDEX(UNSPSCDes,MATCH(INDIRECT(ADDRESS(ROW(),COLUMN()-1,4)),UNSPSCCode,0)),IF(INDIRECT(ADDRESS(ROW(),COLUMN()-1,4))="14111704","Papel higiénico",""))</f>
        <v>Papel higiénico</v>
      </c>
      <c r="C523" s="65" t="str">
        <f>IFERROR(VLOOKUP("CAJ",'Informacion '!P:Q,2,FALSE),"")</f>
        <v>Caja</v>
      </c>
      <c r="D523" s="64">
        <v>30</v>
      </c>
      <c r="E523" s="55">
        <v>100</v>
      </c>
      <c r="F523" s="54">
        <f t="shared" ref="F523:F552" ca="1" si="8">INDIRECT(ADDRESS(ROW(),COLUMN()-2,4))*INDIRECT(ADDRESS(ROW(),COLUMN()-1,4))</f>
        <v>3000</v>
      </c>
    </row>
    <row r="524" spans="1:9" ht="14.1" customHeight="1" x14ac:dyDescent="0.25">
      <c r="A524" s="64" t="s">
        <v>752</v>
      </c>
      <c r="B524" s="53" t="str">
        <f ca="1">IFERROR(INDEX(UNSPSCDes,MATCH(INDIRECT(ADDRESS(ROW(),COLUMN()-1,4)),UNSPSCCode,0)),IF(INDIRECT(ADDRESS(ROW(),COLUMN()-1,4))="12161902","Surfactantes detergentes",""))</f>
        <v>Surfactantes detergentes</v>
      </c>
      <c r="C524" s="65" t="str">
        <f>IFERROR(VLOOKUP("GAL",'Informacion '!P:Q,2,FALSE),"")</f>
        <v>Galón</v>
      </c>
      <c r="D524" s="64">
        <v>20</v>
      </c>
      <c r="E524" s="55">
        <v>250</v>
      </c>
      <c r="F524" s="54">
        <f t="shared" ca="1" si="8"/>
        <v>5000</v>
      </c>
    </row>
    <row r="525" spans="1:9" ht="14.1" customHeight="1" x14ac:dyDescent="0.25">
      <c r="A525" s="64" t="s">
        <v>87</v>
      </c>
      <c r="B525" s="53" t="str">
        <f ca="1">IFERROR(INDEX(UNSPSCDes,MATCH(INDIRECT(ADDRESS(ROW(),COLUMN()-1,4)),UNSPSCCode,0)),IF(INDIRECT(ADDRESS(ROW(),COLUMN()-1,4))="47131605","Cepillos de limpieza",""))</f>
        <v>Cepillos de limpieza</v>
      </c>
      <c r="C525" s="65" t="str">
        <f>IFERROR(VLOOKUP("UD",'Informacion '!P:Q,2,FALSE),"")</f>
        <v>Unidad</v>
      </c>
      <c r="D525" s="64">
        <v>50</v>
      </c>
      <c r="E525" s="55">
        <v>60</v>
      </c>
      <c r="F525" s="54">
        <f t="shared" ca="1" si="8"/>
        <v>3000</v>
      </c>
    </row>
    <row r="526" spans="1:9" ht="14.1" customHeight="1" x14ac:dyDescent="0.25">
      <c r="A526" s="64" t="s">
        <v>205</v>
      </c>
      <c r="B526" s="53" t="str">
        <f ca="1">IFERROR(INDEX(UNSPSCDes,MATCH(INDIRECT(ADDRESS(ROW(),COLUMN()-1,4)),UNSPSCCode,0)),IF(INDIRECT(ADDRESS(ROW(),COLUMN()-1,4))="47131829","Limpiadores de baños",""))</f>
        <v>Limpiadores de baños</v>
      </c>
      <c r="C526" s="65" t="str">
        <f>IFERROR(VLOOKUP("PAQ",'Informacion '!P:Q,2,FALSE),"")</f>
        <v>Paquete</v>
      </c>
      <c r="D526" s="64">
        <v>4</v>
      </c>
      <c r="E526" s="55">
        <v>1900</v>
      </c>
      <c r="F526" s="54">
        <f t="shared" ca="1" si="8"/>
        <v>7600</v>
      </c>
    </row>
    <row r="527" spans="1:9" ht="14.1" customHeight="1" x14ac:dyDescent="0.25">
      <c r="A527" s="64" t="s">
        <v>290</v>
      </c>
      <c r="B527" s="53" t="str">
        <f ca="1">IFERROR(INDEX(UNSPSCDes,MATCH(INDIRECT(ADDRESS(ROW(),COLUMN()-1,4)),UNSPSCCode,0)),IF(INDIRECT(ADDRESS(ROW(),COLUMN()-1,4))="47131502","Pañitos o toallas para limpiar",""))</f>
        <v>Pañitos o toallas para limpiar</v>
      </c>
      <c r="C527" s="65" t="str">
        <f>IFERROR(VLOOKUP("PAQ",'Informacion '!P:Q,2,FALSE),"")</f>
        <v>Paquete</v>
      </c>
      <c r="D527" s="64">
        <v>3</v>
      </c>
      <c r="E527" s="55">
        <v>350</v>
      </c>
      <c r="F527" s="54">
        <f t="shared" ca="1" si="8"/>
        <v>1050</v>
      </c>
    </row>
    <row r="528" spans="1:9" ht="14.1" customHeight="1" x14ac:dyDescent="0.25">
      <c r="A528" s="64" t="s">
        <v>587</v>
      </c>
      <c r="B528" s="53" t="str">
        <f ca="1">IFERROR(INDEX(UNSPSCDes,MATCH(INDIRECT(ADDRESS(ROW(),COLUMN()-1,4)),UNSPSCCode,0)),IF(INDIRECT(ADDRESS(ROW(),COLUMN()-1,4))="47131803","Desinfectantes para uso doméstico",""))</f>
        <v>Desinfectantes para uso doméstico</v>
      </c>
      <c r="C528" s="65" t="str">
        <f>IFERROR(VLOOKUP("UD",'Informacion '!P:Q,2,FALSE),"")</f>
        <v>Unidad</v>
      </c>
      <c r="D528" s="64">
        <v>10</v>
      </c>
      <c r="E528" s="55">
        <v>800</v>
      </c>
      <c r="F528" s="54">
        <f t="shared" ca="1" si="8"/>
        <v>8000</v>
      </c>
    </row>
    <row r="529" spans="1:6" ht="14.1" customHeight="1" x14ac:dyDescent="0.25">
      <c r="A529" s="64" t="s">
        <v>743</v>
      </c>
      <c r="B529" s="53" t="str">
        <f ca="1">IFERROR(INDEX(UNSPSCDes,MATCH(INDIRECT(ADDRESS(ROW(),COLUMN()-1,4)),UNSPSCCode,0)),IF(INDIRECT(ADDRESS(ROW(),COLUMN()-1,4))="47131609","Manijas de escobas o traperos",""))</f>
        <v>Manijas de escobas o traperos</v>
      </c>
      <c r="C529" s="65" t="str">
        <f>IFERROR(VLOOKUP("UD",'Informacion '!P:Q,2,FALSE),"")</f>
        <v>Unidad</v>
      </c>
      <c r="D529" s="64">
        <v>10</v>
      </c>
      <c r="E529" s="55">
        <v>190</v>
      </c>
      <c r="F529" s="54">
        <f t="shared" ca="1" si="8"/>
        <v>1900</v>
      </c>
    </row>
    <row r="530" spans="1:6" ht="14.1" customHeight="1" x14ac:dyDescent="0.25">
      <c r="A530" s="64" t="s">
        <v>39</v>
      </c>
      <c r="B530" s="53" t="str">
        <f ca="1">IFERROR(INDEX(UNSPSCDes,MATCH(INDIRECT(ADDRESS(ROW(),COLUMN()-1,4)),UNSPSCCode,0)),IF(INDIRECT(ADDRESS(ROW(),COLUMN()-1,4))="47131615","Cabezas de escoba",""))</f>
        <v>Cabezas de escoba</v>
      </c>
      <c r="C530" s="65" t="str">
        <f>IFERROR(VLOOKUP("UD",'Informacion '!P:Q,2,FALSE),"")</f>
        <v>Unidad</v>
      </c>
      <c r="D530" s="64">
        <v>100</v>
      </c>
      <c r="E530" s="55">
        <v>50</v>
      </c>
      <c r="F530" s="54">
        <f t="shared" ca="1" si="8"/>
        <v>5000</v>
      </c>
    </row>
    <row r="531" spans="1:6" ht="14.1" customHeight="1" x14ac:dyDescent="0.25">
      <c r="A531" s="64" t="s">
        <v>258</v>
      </c>
      <c r="B531" s="53" t="str">
        <f ca="1">IFERROR(INDEX(UNSPSCDes,MATCH(INDIRECT(ADDRESS(ROW(),COLUMN()-1,4)),UNSPSCCode,0)),IF(INDIRECT(ADDRESS(ROW(),COLUMN()-1,4))="47131602","Almohadillas para restregar",""))</f>
        <v>Almohadillas para restregar</v>
      </c>
      <c r="C531" s="65" t="str">
        <f>IFERROR(VLOOKUP("UD",'Informacion '!P:Q,2,FALSE),"")</f>
        <v>Unidad</v>
      </c>
      <c r="D531" s="64">
        <v>200</v>
      </c>
      <c r="E531" s="55">
        <v>15</v>
      </c>
      <c r="F531" s="54">
        <f t="shared" ca="1" si="8"/>
        <v>3000</v>
      </c>
    </row>
    <row r="532" spans="1:6" ht="14.1" customHeight="1" x14ac:dyDescent="0.25">
      <c r="A532" s="64" t="s">
        <v>258</v>
      </c>
      <c r="B532" s="53" t="str">
        <f ca="1">IFERROR(INDEX(UNSPSCDes,MATCH(INDIRECT(ADDRESS(ROW(),COLUMN()-1,4)),UNSPSCCode,0)),IF(INDIRECT(ADDRESS(ROW(),COLUMN()-1,4))="47131602","Almohadillas para restregar",""))</f>
        <v>Almohadillas para restregar</v>
      </c>
      <c r="C532" s="65" t="str">
        <f>IFERROR(VLOOKUP("UD",'Informacion '!P:Q,2,FALSE),"")</f>
        <v>Unidad</v>
      </c>
      <c r="D532" s="64">
        <v>200</v>
      </c>
      <c r="E532" s="55">
        <v>25</v>
      </c>
      <c r="F532" s="54">
        <f t="shared" ca="1" si="8"/>
        <v>5000</v>
      </c>
    </row>
    <row r="533" spans="1:6" ht="14.1" customHeight="1" x14ac:dyDescent="0.25">
      <c r="A533" s="64" t="s">
        <v>748</v>
      </c>
      <c r="B533" s="53" t="str">
        <f ca="1">IFERROR(INDEX(UNSPSCDes,MATCH(INDIRECT(ADDRESS(ROW(),COLUMN()-1,4)),UNSPSCCode,0)),IF(INDIRECT(ADDRESS(ROW(),COLUMN()-1,4))="31211910","Guantes para pintar",""))</f>
        <v>Guantes para pintar</v>
      </c>
      <c r="C533" s="65" t="str">
        <f>IFERROR(VLOOKUP("UD",'Informacion '!P:Q,2,FALSE),"")</f>
        <v>Unidad</v>
      </c>
      <c r="D533" s="64">
        <v>100</v>
      </c>
      <c r="E533" s="55">
        <v>70</v>
      </c>
      <c r="F533" s="54">
        <f t="shared" ca="1" si="8"/>
        <v>7000</v>
      </c>
    </row>
    <row r="534" spans="1:6" ht="14.1" customHeight="1" x14ac:dyDescent="0.25">
      <c r="A534" s="64" t="s">
        <v>87</v>
      </c>
      <c r="B534" s="53" t="str">
        <f ca="1">IFERROR(INDEX(UNSPSCDes,MATCH(INDIRECT(ADDRESS(ROW(),COLUMN()-1,4)),UNSPSCCode,0)),IF(INDIRECT(ADDRESS(ROW(),COLUMN()-1,4))="47131605","Cepillos de limpieza",""))</f>
        <v>Cepillos de limpieza</v>
      </c>
      <c r="C534" s="65" t="str">
        <f>IFERROR(VLOOKUP("UD",'Informacion '!P:Q,2,FALSE),"")</f>
        <v>Unidad</v>
      </c>
      <c r="D534" s="64">
        <v>50</v>
      </c>
      <c r="E534" s="55">
        <v>80</v>
      </c>
      <c r="F534" s="54">
        <f t="shared" ca="1" si="8"/>
        <v>4000</v>
      </c>
    </row>
    <row r="535" spans="1:6" ht="14.1" customHeight="1" x14ac:dyDescent="0.25">
      <c r="A535" s="64" t="s">
        <v>253</v>
      </c>
      <c r="B535" s="53" t="str">
        <f ca="1">IFERROR(INDEX(UNSPSCDes,MATCH(INDIRECT(ADDRESS(ROW(),COLUMN()-1,4)),UNSPSCCode,0)),IF(INDIRECT(ADDRESS(ROW(),COLUMN()-1,4))="12141901","Cloro cl",""))</f>
        <v>Cloro cl</v>
      </c>
      <c r="C535" s="65" t="str">
        <f>IFERROR(VLOOKUP("UD",'Informacion '!P:Q,2,FALSE),"")</f>
        <v>Unidad</v>
      </c>
      <c r="D535" s="64">
        <v>1</v>
      </c>
      <c r="E535" s="55">
        <v>5500</v>
      </c>
      <c r="F535" s="54">
        <f t="shared" ca="1" si="8"/>
        <v>5500</v>
      </c>
    </row>
    <row r="536" spans="1:6" ht="14.1" customHeight="1" x14ac:dyDescent="0.25">
      <c r="A536" s="64" t="s">
        <v>253</v>
      </c>
      <c r="B536" s="53" t="str">
        <f ca="1">IFERROR(INDEX(UNSPSCDes,MATCH(INDIRECT(ADDRESS(ROW(),COLUMN()-1,4)),UNSPSCCode,0)),IF(INDIRECT(ADDRESS(ROW(),COLUMN()-1,4))="12141901","Cloro cl",""))</f>
        <v>Cloro cl</v>
      </c>
      <c r="C536" s="65" t="str">
        <f>IFERROR(VLOOKUP("UD",'Informacion '!P:Q,2,FALSE),"")</f>
        <v>Unidad</v>
      </c>
      <c r="D536" s="64">
        <v>1</v>
      </c>
      <c r="E536" s="55">
        <v>9000</v>
      </c>
      <c r="F536" s="54">
        <f t="shared" ca="1" si="8"/>
        <v>9000</v>
      </c>
    </row>
    <row r="537" spans="1:6" ht="14.1" customHeight="1" x14ac:dyDescent="0.25">
      <c r="A537" s="64" t="s">
        <v>114</v>
      </c>
      <c r="B537" s="53" t="str">
        <f ca="1">IFERROR(INDEX(UNSPSCDes,MATCH(INDIRECT(ADDRESS(ROW(),COLUMN()-1,4)),UNSPSCCode,0)),IF(INDIRECT(ADDRESS(ROW(),COLUMN()-1,4))="41121813","Cubetas",""))</f>
        <v>Cubetas</v>
      </c>
      <c r="C537" s="65" t="str">
        <f>IFERROR(VLOOKUP("UD",'Informacion '!P:Q,2,FALSE),"")</f>
        <v>Unidad</v>
      </c>
      <c r="D537" s="64">
        <v>5</v>
      </c>
      <c r="E537" s="55">
        <v>150</v>
      </c>
      <c r="F537" s="54">
        <f t="shared" ca="1" si="8"/>
        <v>750</v>
      </c>
    </row>
    <row r="538" spans="1:6" ht="14.1" customHeight="1" x14ac:dyDescent="0.25">
      <c r="A538" s="64" t="s">
        <v>587</v>
      </c>
      <c r="B538" s="53" t="str">
        <f ca="1">IFERROR(INDEX(UNSPSCDes,MATCH(INDIRECT(ADDRESS(ROW(),COLUMN()-1,4)),UNSPSCCode,0)),IF(INDIRECT(ADDRESS(ROW(),COLUMN()-1,4))="47131803","Desinfectantes para uso doméstico",""))</f>
        <v>Desinfectantes para uso doméstico</v>
      </c>
      <c r="C538" s="65" t="str">
        <f>IFERROR(VLOOKUP("UD",'Informacion '!P:Q,2,FALSE),"")</f>
        <v>Unidad</v>
      </c>
      <c r="D538" s="64">
        <v>2</v>
      </c>
      <c r="E538" s="55">
        <v>4500</v>
      </c>
      <c r="F538" s="54">
        <f t="shared" ca="1" si="8"/>
        <v>9000</v>
      </c>
    </row>
    <row r="539" spans="1:6" ht="14.1" customHeight="1" x14ac:dyDescent="0.25">
      <c r="A539" s="64" t="s">
        <v>196</v>
      </c>
      <c r="B539" s="53" t="str">
        <f ca="1">IFERROR(INDEX(UNSPSCDes,MATCH(INDIRECT(ADDRESS(ROW(),COLUMN()-1,4)),UNSPSCCode,0)),IF(INDIRECT(ADDRESS(ROW(),COLUMN()-1,4))="24111503","Bolsas plásticas",""))</f>
        <v>Bolsas plásticas</v>
      </c>
      <c r="C539" s="65" t="str">
        <f>IFERROR(VLOOKUP("UD",'Informacion '!P:Q,2,FALSE),"")</f>
        <v>Unidad</v>
      </c>
      <c r="D539" s="64">
        <v>20</v>
      </c>
      <c r="E539" s="55">
        <v>425</v>
      </c>
      <c r="F539" s="54">
        <f t="shared" ca="1" si="8"/>
        <v>8500</v>
      </c>
    </row>
    <row r="540" spans="1:6" ht="14.1" customHeight="1" x14ac:dyDescent="0.25">
      <c r="A540" s="64" t="s">
        <v>196</v>
      </c>
      <c r="B540" s="53" t="str">
        <f ca="1">IFERROR(INDEX(UNSPSCDes,MATCH(INDIRECT(ADDRESS(ROW(),COLUMN()-1,4)),UNSPSCCode,0)),IF(INDIRECT(ADDRESS(ROW(),COLUMN()-1,4))="24111503","Bolsas plásticas",""))</f>
        <v>Bolsas plásticas</v>
      </c>
      <c r="C540" s="65" t="str">
        <f>IFERROR(VLOOKUP("UD",'Informacion '!P:Q,2,FALSE),"")</f>
        <v>Unidad</v>
      </c>
      <c r="D540" s="64">
        <v>20</v>
      </c>
      <c r="E540" s="55">
        <v>600</v>
      </c>
      <c r="F540" s="54">
        <f t="shared" ca="1" si="8"/>
        <v>12000</v>
      </c>
    </row>
    <row r="541" spans="1:6" ht="14.1" customHeight="1" x14ac:dyDescent="0.25">
      <c r="A541" s="64" t="s">
        <v>196</v>
      </c>
      <c r="B541" s="53" t="str">
        <f ca="1">IFERROR(INDEX(UNSPSCDes,MATCH(INDIRECT(ADDRESS(ROW(),COLUMN()-1,4)),UNSPSCCode,0)),IF(INDIRECT(ADDRESS(ROW(),COLUMN()-1,4))="24111503","Bolsas plásticas",""))</f>
        <v>Bolsas plásticas</v>
      </c>
      <c r="C541" s="65" t="str">
        <f>IFERROR(VLOOKUP("UD",'Informacion '!P:Q,2,FALSE),"")</f>
        <v>Unidad</v>
      </c>
      <c r="D541" s="64">
        <v>20</v>
      </c>
      <c r="E541" s="55">
        <v>350</v>
      </c>
      <c r="F541" s="54">
        <f t="shared" ca="1" si="8"/>
        <v>7000</v>
      </c>
    </row>
    <row r="542" spans="1:6" ht="14.1" customHeight="1" x14ac:dyDescent="0.25">
      <c r="A542" s="64" t="s">
        <v>46</v>
      </c>
      <c r="B542" s="53" t="str">
        <f ca="1">IFERROR(INDEX(UNSPSCDes,MATCH(INDIRECT(ADDRESS(ROW(),COLUMN()-1,4)),UNSPSCCode,0)),IF(INDIRECT(ADDRESS(ROW(),COLUMN()-1,4))="53131608","Jabones",""))</f>
        <v>Jabones</v>
      </c>
      <c r="C542" s="65" t="str">
        <f>IFERROR(VLOOKUP("UD",'Informacion '!P:Q,2,FALSE),"")</f>
        <v>Unidad</v>
      </c>
      <c r="D542" s="64">
        <v>1</v>
      </c>
      <c r="E542" s="55">
        <v>4000</v>
      </c>
      <c r="F542" s="54">
        <f t="shared" ca="1" si="8"/>
        <v>4000</v>
      </c>
    </row>
    <row r="543" spans="1:6" ht="14.1" customHeight="1" x14ac:dyDescent="0.25">
      <c r="A543" s="64" t="s">
        <v>185</v>
      </c>
      <c r="B543" s="53" t="str">
        <f ca="1">IFERROR(INDEX(UNSPSCDes,MATCH(INDIRECT(ADDRESS(ROW(),COLUMN()-1,4)),UNSPSCCode,0)),IF(INDIRECT(ADDRESS(ROW(),COLUMN()-1,4))="47131604","Escobas",""))</f>
        <v>Escobas</v>
      </c>
      <c r="C543" s="65" t="str">
        <f>IFERROR(VLOOKUP("UD",'Informacion '!P:Q,2,FALSE),"")</f>
        <v>Unidad</v>
      </c>
      <c r="D543" s="64">
        <v>24</v>
      </c>
      <c r="E543" s="55">
        <v>125</v>
      </c>
      <c r="F543" s="54">
        <f t="shared" ca="1" si="8"/>
        <v>3000</v>
      </c>
    </row>
    <row r="544" spans="1:6" ht="14.1" customHeight="1" x14ac:dyDescent="0.25">
      <c r="A544" s="64" t="s">
        <v>185</v>
      </c>
      <c r="B544" s="53" t="str">
        <f ca="1">IFERROR(INDEX(UNSPSCDes,MATCH(INDIRECT(ADDRESS(ROW(),COLUMN()-1,4)),UNSPSCCode,0)),IF(INDIRECT(ADDRESS(ROW(),COLUMN()-1,4))="47131604","Escobas",""))</f>
        <v>Escobas</v>
      </c>
      <c r="C544" s="65" t="str">
        <f>IFERROR(VLOOKUP("UD",'Informacion '!P:Q,2,FALSE),"")</f>
        <v>Unidad</v>
      </c>
      <c r="D544" s="64">
        <v>20</v>
      </c>
      <c r="E544" s="55">
        <v>145</v>
      </c>
      <c r="F544" s="54">
        <f t="shared" ca="1" si="8"/>
        <v>2900</v>
      </c>
    </row>
    <row r="545" spans="1:9" ht="14.1" customHeight="1" x14ac:dyDescent="0.25">
      <c r="A545" s="64" t="s">
        <v>780</v>
      </c>
      <c r="B545" s="53" t="str">
        <f ca="1">IFERROR(INDEX(UNSPSCDes,MATCH(INDIRECT(ADDRESS(ROW(),COLUMN()-1,4)),UNSPSCCode,0)),IF(INDIRECT(ADDRESS(ROW(),COLUMN()-1,4))="27112003","Rastrillos",""))</f>
        <v>Rastrillos</v>
      </c>
      <c r="C545" s="65" t="str">
        <f>IFERROR(VLOOKUP("UD",'Informacion '!P:Q,2,FALSE),"")</f>
        <v>Unidad</v>
      </c>
      <c r="D545" s="64">
        <v>20</v>
      </c>
      <c r="E545" s="55">
        <v>160</v>
      </c>
      <c r="F545" s="54">
        <f t="shared" ca="1" si="8"/>
        <v>3200</v>
      </c>
    </row>
    <row r="546" spans="1:9" ht="14.1" customHeight="1" x14ac:dyDescent="0.25">
      <c r="A546" s="64" t="s">
        <v>356</v>
      </c>
      <c r="B546" s="53" t="str">
        <f ca="1">IFERROR(INDEX(UNSPSCDes,MATCH(INDIRECT(ADDRESS(ROW(),COLUMN()-1,4)),UNSPSCCode,0)),IF(INDIRECT(ADDRESS(ROW(),COLUMN()-1,4))="14111703","Toallas de papel",""))</f>
        <v>Toallas de papel</v>
      </c>
      <c r="C546" s="65" t="str">
        <f>IFERROR(VLOOKUP("UD",'Informacion '!P:Q,2,FALSE),"")</f>
        <v>Unidad</v>
      </c>
      <c r="D546" s="64">
        <v>50</v>
      </c>
      <c r="E546" s="55">
        <v>1500</v>
      </c>
      <c r="F546" s="54">
        <f t="shared" ca="1" si="8"/>
        <v>75000</v>
      </c>
    </row>
    <row r="547" spans="1:9" ht="14.1" customHeight="1" x14ac:dyDescent="0.25">
      <c r="A547" s="64" t="s">
        <v>489</v>
      </c>
      <c r="B547" s="53" t="str">
        <f ca="1">IFERROR(INDEX(UNSPSCDes,MATCH(INDIRECT(ADDRESS(ROW(),COLUMN()-1,4)),UNSPSCCode,0)),IF(INDIRECT(ADDRESS(ROW(),COLUMN()-1,4))="42131601","Delantales o petos para personal médico",""))</f>
        <v>Delantales o petos para personal médico</v>
      </c>
      <c r="C547" s="65" t="str">
        <f>IFERROR(VLOOKUP("UD",'Informacion '!P:Q,2,FALSE),"")</f>
        <v>Unidad</v>
      </c>
      <c r="D547" s="64">
        <v>1</v>
      </c>
      <c r="E547" s="55">
        <v>250</v>
      </c>
      <c r="F547" s="54">
        <f t="shared" ca="1" si="8"/>
        <v>250</v>
      </c>
    </row>
    <row r="548" spans="1:9" ht="14.1" customHeight="1" x14ac:dyDescent="0.25">
      <c r="A548" s="64" t="s">
        <v>489</v>
      </c>
      <c r="B548" s="53" t="str">
        <f ca="1">IFERROR(INDEX(UNSPSCDes,MATCH(INDIRECT(ADDRESS(ROW(),COLUMN()-1,4)),UNSPSCCode,0)),IF(INDIRECT(ADDRESS(ROW(),COLUMN()-1,4))="42131601","Delantales o petos para personal médico",""))</f>
        <v>Delantales o petos para personal médico</v>
      </c>
      <c r="C548" s="65" t="str">
        <f>IFERROR(VLOOKUP("UD",'Informacion '!P:Q,2,FALSE),"")</f>
        <v>Unidad</v>
      </c>
      <c r="D548" s="64">
        <v>1</v>
      </c>
      <c r="E548" s="55">
        <v>300</v>
      </c>
      <c r="F548" s="54">
        <f t="shared" ca="1" si="8"/>
        <v>300</v>
      </c>
    </row>
    <row r="549" spans="1:9" ht="14.1" customHeight="1" x14ac:dyDescent="0.25">
      <c r="A549" s="64" t="s">
        <v>766</v>
      </c>
      <c r="B549" s="53" t="str">
        <f ca="1">IFERROR(INDEX(UNSPSCDes,MATCH(INDIRECT(ADDRESS(ROW(),COLUMN()-1,4)),UNSPSCCode,0)),IF(INDIRECT(ADDRESS(ROW(),COLUMN()-1,4))="42132203","Guantes de examen o para procedimientos no quirúrgicos",""))</f>
        <v>Guantes de examen o para procedimientos no quirúrgicos</v>
      </c>
      <c r="C549" s="65" t="str">
        <f>IFERROR(VLOOKUP("CAJ",'Informacion '!P:Q,2,FALSE),"")</f>
        <v>Caja</v>
      </c>
      <c r="D549" s="64">
        <v>4</v>
      </c>
      <c r="E549" s="55">
        <v>250</v>
      </c>
      <c r="F549" s="54">
        <f t="shared" ca="1" si="8"/>
        <v>1000</v>
      </c>
    </row>
    <row r="550" spans="1:9" ht="14.1" customHeight="1" x14ac:dyDescent="0.25">
      <c r="A550" s="64" t="s">
        <v>696</v>
      </c>
      <c r="B550" s="53" t="str">
        <f ca="1">IFERROR(INDEX(UNSPSCDes,MATCH(INDIRECT(ADDRESS(ROW(),COLUMN()-1,4)),UNSPSCCode,0)),IF(INDIRECT(ADDRESS(ROW(),COLUMN()-1,4))="52121702","Toallas playeras",""))</f>
        <v>Toallas playeras</v>
      </c>
      <c r="C550" s="65" t="str">
        <f>IFERROR(VLOOKUP("UD",'Informacion '!P:Q,2,FALSE),"")</f>
        <v>Unidad</v>
      </c>
      <c r="D550" s="64">
        <v>5</v>
      </c>
      <c r="E550" s="55">
        <v>600</v>
      </c>
      <c r="F550" s="54">
        <f t="shared" ca="1" si="8"/>
        <v>3000</v>
      </c>
    </row>
    <row r="551" spans="1:9" ht="14.1" customHeight="1" x14ac:dyDescent="0.25">
      <c r="A551" s="64" t="s">
        <v>641</v>
      </c>
      <c r="B551" s="53" t="str">
        <f ca="1">IFERROR(INDEX(UNSPSCDes,MATCH(INDIRECT(ADDRESS(ROW(),COLUMN()-1,4)),UNSPSCCode,0)),IF(INDIRECT(ADDRESS(ROW(),COLUMN()-1,4))="52121704","Toallas de manos",""))</f>
        <v>Toallas de manos</v>
      </c>
      <c r="C551" s="65" t="str">
        <f>IFERROR(VLOOKUP("UD",'Informacion '!P:Q,2,FALSE),"")</f>
        <v>Unidad</v>
      </c>
      <c r="D551" s="64">
        <v>5</v>
      </c>
      <c r="E551" s="55">
        <v>50</v>
      </c>
      <c r="F551" s="54">
        <f t="shared" ca="1" si="8"/>
        <v>250</v>
      </c>
    </row>
    <row r="552" spans="1:9" ht="14.1" customHeight="1" x14ac:dyDescent="0.25">
      <c r="A552" s="64" t="s">
        <v>780</v>
      </c>
      <c r="B552" s="53" t="str">
        <f ca="1">IFERROR(INDEX(UNSPSCDes,MATCH(INDIRECT(ADDRESS(ROW(),COLUMN()-1,4)),UNSPSCCode,0)),IF(INDIRECT(ADDRESS(ROW(),COLUMN()-1,4))="27112003","Rastrillos",""))</f>
        <v>Rastrillos</v>
      </c>
      <c r="C552" s="65" t="str">
        <f>IFERROR(VLOOKUP("UD",'Informacion '!P:Q,2,FALSE),"")</f>
        <v>Unidad</v>
      </c>
      <c r="D552" s="64">
        <v>20</v>
      </c>
      <c r="E552" s="55">
        <v>150</v>
      </c>
      <c r="F552" s="54">
        <f t="shared" ca="1" si="8"/>
        <v>3000</v>
      </c>
    </row>
    <row r="553" spans="1:9" ht="14.1" customHeight="1" x14ac:dyDescent="0.25">
      <c r="E553" s="66" t="s">
        <v>581</v>
      </c>
      <c r="F553" s="58">
        <f ca="1">SUM(Table26[MONTO TOTAL ESTIMADO])</f>
        <v>201200</v>
      </c>
      <c r="G553" s="26" t="str">
        <f>C516</f>
        <v>Bienes</v>
      </c>
      <c r="H553" s="26" t="str">
        <f>E516</f>
        <v>No</v>
      </c>
      <c r="I553" s="26" t="str">
        <f>D516</f>
        <v>Compras Menores</v>
      </c>
    </row>
    <row r="555" spans="1:9" ht="33.950000000000003" customHeight="1" x14ac:dyDescent="0.25">
      <c r="A555" s="48" t="s">
        <v>745</v>
      </c>
      <c r="B555" s="48" t="s">
        <v>7</v>
      </c>
      <c r="C555" s="48" t="s">
        <v>533</v>
      </c>
      <c r="D555" s="48" t="s">
        <v>668</v>
      </c>
      <c r="E555" s="48" t="s">
        <v>495</v>
      </c>
      <c r="F555" s="48" t="s">
        <v>506</v>
      </c>
    </row>
    <row r="556" spans="1:9" ht="14.1" customHeight="1" x14ac:dyDescent="0.25">
      <c r="A556" s="50" t="s">
        <v>845</v>
      </c>
      <c r="B556" s="50" t="s">
        <v>730</v>
      </c>
      <c r="C556" s="50" t="s">
        <v>809</v>
      </c>
      <c r="D556" s="50" t="s">
        <v>458</v>
      </c>
      <c r="E556" s="50" t="s">
        <v>810</v>
      </c>
      <c r="F556" s="50" t="s">
        <v>296</v>
      </c>
    </row>
    <row r="557" spans="1:9" ht="14.1" customHeight="1" x14ac:dyDescent="0.25">
      <c r="A557" s="67" t="s">
        <v>688</v>
      </c>
      <c r="B557" s="51" t="s">
        <v>372</v>
      </c>
      <c r="C557" s="60">
        <v>43927</v>
      </c>
      <c r="D557" s="67" t="s">
        <v>418</v>
      </c>
      <c r="E557" s="62" t="s">
        <v>613</v>
      </c>
      <c r="F557" s="63" t="s">
        <v>122</v>
      </c>
    </row>
    <row r="558" spans="1:9" ht="14.1" customHeight="1" x14ac:dyDescent="0.25">
      <c r="A558" s="68"/>
      <c r="B558" s="51" t="s">
        <v>72</v>
      </c>
      <c r="C558" s="61">
        <f>IF(C557="","",IF(AND(MONTH(C557)&gt;=1,MONTH(C557)&lt;=3),1,IF(AND(MONTH(C557)&gt;=4,MONTH(C557)&lt;=6),2,IF(AND(MONTH(C557)&gt;=7,MONTH(C557)&lt;=9),3,4))))</f>
        <v>2</v>
      </c>
      <c r="D558" s="68"/>
      <c r="E558" s="62" t="s">
        <v>91</v>
      </c>
      <c r="F558" s="63" t="s">
        <v>670</v>
      </c>
    </row>
    <row r="559" spans="1:9" ht="14.1" customHeight="1" x14ac:dyDescent="0.25">
      <c r="A559" s="68"/>
      <c r="B559" s="51" t="s">
        <v>602</v>
      </c>
      <c r="C559" s="60">
        <v>43930</v>
      </c>
      <c r="D559" s="68"/>
      <c r="E559" s="62" t="s">
        <v>121</v>
      </c>
      <c r="F559" s="63" t="s">
        <v>195</v>
      </c>
    </row>
    <row r="560" spans="1:9" ht="14.1" customHeight="1" x14ac:dyDescent="0.25">
      <c r="A560" s="68"/>
      <c r="B560" s="51" t="s">
        <v>72</v>
      </c>
      <c r="C560" s="61">
        <f>IF(C559="","",IF(AND(MONTH(C559)&gt;=1,MONTH(C559)&lt;=3),1,IF(AND(MONTH(C559)&gt;=4,MONTH(C559)&lt;=6),2,IF(AND(MONTH(C559)&gt;=7,MONTH(C559)&lt;=9),3,4))))</f>
        <v>2</v>
      </c>
      <c r="D560" s="68"/>
      <c r="E560" s="62" t="s">
        <v>618</v>
      </c>
      <c r="F560" s="63"/>
    </row>
    <row r="562" spans="1:6" ht="14.1" customHeight="1" x14ac:dyDescent="0.25">
      <c r="A562" s="56" t="s">
        <v>724</v>
      </c>
      <c r="B562" s="56" t="s">
        <v>736</v>
      </c>
      <c r="C562" s="56" t="s">
        <v>718</v>
      </c>
      <c r="D562" s="56" t="s">
        <v>701</v>
      </c>
      <c r="E562" s="56" t="s">
        <v>308</v>
      </c>
      <c r="F562" s="56" t="s">
        <v>703</v>
      </c>
    </row>
    <row r="563" spans="1:6" ht="14.1" customHeight="1" x14ac:dyDescent="0.25">
      <c r="A563" s="64" t="s">
        <v>626</v>
      </c>
      <c r="B563" s="53" t="str">
        <f ca="1">IFERROR(INDEX(UNSPSCDes,MATCH(INDIRECT(ADDRESS(ROW(),COLUMN()-1,4)),UNSPSCCode,0)),IF(INDIRECT(ADDRESS(ROW(),COLUMN()-1,4))="14111507","Papel para impresora o fotocopiadora",""))</f>
        <v>Papel para impresora o fotocopiadora</v>
      </c>
      <c r="C563" s="65" t="str">
        <f>IFERROR(VLOOKUP("RESMA",'Informacion '!P:Q,2,FALSE),"")</f>
        <v>Resma</v>
      </c>
      <c r="D563" s="64">
        <v>40</v>
      </c>
      <c r="E563" s="55">
        <v>150</v>
      </c>
      <c r="F563" s="54">
        <f t="shared" ref="F563:F592" ca="1" si="9">INDIRECT(ADDRESS(ROW(),COLUMN()-2,4))*INDIRECT(ADDRESS(ROW(),COLUMN()-1,4))</f>
        <v>6000</v>
      </c>
    </row>
    <row r="564" spans="1:6" ht="14.1" customHeight="1" x14ac:dyDescent="0.25">
      <c r="A564" s="64" t="s">
        <v>447</v>
      </c>
      <c r="B564" s="53" t="str">
        <f ca="1">IFERROR(INDEX(UNSPSCDes,MATCH(INDIRECT(ADDRESS(ROW(),COLUMN()-1,4)),UNSPSCCode,0)),IF(INDIRECT(ADDRESS(ROW(),COLUMN()-1,4))="44103105","Cartuchos de tinta",""))</f>
        <v>Cartuchos de tinta</v>
      </c>
      <c r="C564" s="65" t="str">
        <f>IFERROR(VLOOKUP("UD",'Informacion '!P:Q,2,FALSE),"")</f>
        <v>Unidad</v>
      </c>
      <c r="D564" s="64">
        <v>5</v>
      </c>
      <c r="E564" s="55">
        <v>800</v>
      </c>
      <c r="F564" s="54">
        <f t="shared" ca="1" si="9"/>
        <v>4000</v>
      </c>
    </row>
    <row r="565" spans="1:6" ht="14.1" customHeight="1" x14ac:dyDescent="0.25">
      <c r="A565" s="64" t="s">
        <v>447</v>
      </c>
      <c r="B565" s="53" t="str">
        <f ca="1">IFERROR(INDEX(UNSPSCDes,MATCH(INDIRECT(ADDRESS(ROW(),COLUMN()-1,4)),UNSPSCCode,0)),IF(INDIRECT(ADDRESS(ROW(),COLUMN()-1,4))="44103105","Cartuchos de tinta",""))</f>
        <v>Cartuchos de tinta</v>
      </c>
      <c r="C565" s="65" t="str">
        <f>IFERROR(VLOOKUP("UD",'Informacion '!P:Q,2,FALSE),"")</f>
        <v>Unidad</v>
      </c>
      <c r="D565" s="64">
        <v>5</v>
      </c>
      <c r="E565" s="55">
        <v>900</v>
      </c>
      <c r="F565" s="54">
        <f t="shared" ca="1" si="9"/>
        <v>4500</v>
      </c>
    </row>
    <row r="566" spans="1:6" ht="14.1" customHeight="1" x14ac:dyDescent="0.25">
      <c r="A566" s="64" t="s">
        <v>21</v>
      </c>
      <c r="B566" s="53" t="str">
        <f ca="1">IFERROR(INDEX(UNSPSCDes,MATCH(INDIRECT(ADDRESS(ROW(),COLUMN()-1,4)),UNSPSCCode,0)),IF(INDIRECT(ADDRESS(ROW(),COLUMN()-1,4))="44111509","Sujetadores de esferos o lápices",""))</f>
        <v>Sujetadores de esferos o lápices</v>
      </c>
      <c r="C566" s="65" t="str">
        <f>IFERROR(VLOOKUP("CAJ",'Informacion '!P:Q,2,FALSE),"")</f>
        <v>Caja</v>
      </c>
      <c r="D566" s="64">
        <v>5</v>
      </c>
      <c r="E566" s="55">
        <v>60</v>
      </c>
      <c r="F566" s="54">
        <f t="shared" ca="1" si="9"/>
        <v>300</v>
      </c>
    </row>
    <row r="567" spans="1:6" ht="14.1" customHeight="1" x14ac:dyDescent="0.25">
      <c r="A567" s="64" t="s">
        <v>727</v>
      </c>
      <c r="B567" s="53" t="str">
        <f ca="1">IFERROR(INDEX(UNSPSCDes,MATCH(INDIRECT(ADDRESS(ROW(),COLUMN()-1,4)),UNSPSCCode,0)),IF(INDIRECT(ADDRESS(ROW(),COLUMN()-1,4))="44121701","Bolígrafos",""))</f>
        <v>Bolígrafos</v>
      </c>
      <c r="C567" s="65" t="str">
        <f>IFERROR(VLOOKUP("CAJ",'Informacion '!P:Q,2,FALSE),"")</f>
        <v>Caja</v>
      </c>
      <c r="D567" s="64">
        <v>5</v>
      </c>
      <c r="E567" s="55">
        <v>75</v>
      </c>
      <c r="F567" s="54">
        <f t="shared" ca="1" si="9"/>
        <v>375</v>
      </c>
    </row>
    <row r="568" spans="1:6" ht="14.1" customHeight="1" x14ac:dyDescent="0.25">
      <c r="A568" s="64" t="s">
        <v>725</v>
      </c>
      <c r="B568" s="53" t="str">
        <f ca="1">IFERROR(INDEX(UNSPSCDes,MATCH(INDIRECT(ADDRESS(ROW(),COLUMN()-1,4)),UNSPSCCode,0)),IF(INDIRECT(ADDRESS(ROW(),COLUMN()-1,4))="44121615","Grapadoras",""))</f>
        <v>Grapadoras</v>
      </c>
      <c r="C568" s="65" t="str">
        <f>IFERROR(VLOOKUP("UD",'Informacion '!P:Q,2,FALSE),"")</f>
        <v>Unidad</v>
      </c>
      <c r="D568" s="64">
        <v>3</v>
      </c>
      <c r="E568" s="55">
        <v>200</v>
      </c>
      <c r="F568" s="54">
        <f t="shared" ca="1" si="9"/>
        <v>600</v>
      </c>
    </row>
    <row r="569" spans="1:6" ht="14.1" customHeight="1" x14ac:dyDescent="0.25">
      <c r="A569" s="64" t="s">
        <v>626</v>
      </c>
      <c r="B569" s="53" t="str">
        <f ca="1">IFERROR(INDEX(UNSPSCDes,MATCH(INDIRECT(ADDRESS(ROW(),COLUMN()-1,4)),UNSPSCCode,0)),IF(INDIRECT(ADDRESS(ROW(),COLUMN()-1,4))="14111507","Papel para impresora o fotocopiadora",""))</f>
        <v>Papel para impresora o fotocopiadora</v>
      </c>
      <c r="C569" s="65" t="str">
        <f>IFERROR(VLOOKUP("UD",'Informacion '!P:Q,2,FALSE),"")</f>
        <v>Unidad</v>
      </c>
      <c r="D569" s="64">
        <v>40</v>
      </c>
      <c r="E569" s="55">
        <v>12</v>
      </c>
      <c r="F569" s="54">
        <f t="shared" ca="1" si="9"/>
        <v>480</v>
      </c>
    </row>
    <row r="570" spans="1:6" ht="14.1" customHeight="1" x14ac:dyDescent="0.25">
      <c r="A570" s="64" t="s">
        <v>634</v>
      </c>
      <c r="B570" s="53" t="str">
        <f ca="1">IFERROR(INDEX(UNSPSCDes,MATCH(INDIRECT(ADDRESS(ROW(),COLUMN()-1,4)),UNSPSCCode,0)),IF(INDIRECT(ADDRESS(ROW(),COLUMN()-1,4))="44122104","Clips para papel",""))</f>
        <v>Clips para papel</v>
      </c>
      <c r="C570" s="65" t="str">
        <f>IFERROR(VLOOKUP("UD",'Informacion '!P:Q,2,FALSE),"")</f>
        <v>Unidad</v>
      </c>
      <c r="D570" s="64">
        <v>10</v>
      </c>
      <c r="E570" s="55">
        <v>70</v>
      </c>
      <c r="F570" s="54">
        <f t="shared" ca="1" si="9"/>
        <v>700</v>
      </c>
    </row>
    <row r="571" spans="1:6" ht="14.1" customHeight="1" x14ac:dyDescent="0.25">
      <c r="A571" s="64" t="s">
        <v>692</v>
      </c>
      <c r="B571" s="53" t="str">
        <f ca="1">IFERROR(INDEX(UNSPSCDes,MATCH(INDIRECT(ADDRESS(ROW(),COLUMN()-1,4)),UNSPSCCode,0)),IF(INDIRECT(ADDRESS(ROW(),COLUMN()-1,4))="44103103","Tóner para impresoras o fax",""))</f>
        <v>Tóner para impresoras o fax</v>
      </c>
      <c r="C571" s="65" t="str">
        <f>IFERROR(VLOOKUP("UD",'Informacion '!P:Q,2,FALSE),"")</f>
        <v>Unidad</v>
      </c>
      <c r="D571" s="64">
        <v>2</v>
      </c>
      <c r="E571" s="55">
        <v>2000</v>
      </c>
      <c r="F571" s="54">
        <f t="shared" ca="1" si="9"/>
        <v>4000</v>
      </c>
    </row>
    <row r="572" spans="1:6" ht="14.1" customHeight="1" x14ac:dyDescent="0.25">
      <c r="A572" s="64" t="s">
        <v>315</v>
      </c>
      <c r="B572" s="53" t="str">
        <f ca="1">IFERROR(INDEX(UNSPSCDes,MATCH(INDIRECT(ADDRESS(ROW(),COLUMN()-1,4)),UNSPSCCode,0)),IF(INDIRECT(ADDRESS(ROW(),COLUMN()-1,4))="31201522","Cinta de transferencia adhesiva",""))</f>
        <v>Cinta de transferencia adhesiva</v>
      </c>
      <c r="C572" s="65" t="str">
        <f>IFERROR(VLOOKUP("UD",'Informacion '!P:Q,2,FALSE),"")</f>
        <v>Unidad</v>
      </c>
      <c r="D572" s="64">
        <v>10</v>
      </c>
      <c r="E572" s="55">
        <v>60</v>
      </c>
      <c r="F572" s="54">
        <f t="shared" ca="1" si="9"/>
        <v>600</v>
      </c>
    </row>
    <row r="573" spans="1:6" ht="14.1" customHeight="1" x14ac:dyDescent="0.25">
      <c r="A573" s="64" t="s">
        <v>366</v>
      </c>
      <c r="B573" s="53" t="str">
        <f ca="1">IFERROR(INDEX(UNSPSCDes,MATCH(INDIRECT(ADDRESS(ROW(),COLUMN()-1,4)),UNSPSCCode,0)),IF(INDIRECT(ADDRESS(ROW(),COLUMN()-1,4))="31201603","Gomas",""))</f>
        <v>Gomas</v>
      </c>
      <c r="C573" s="65" t="str">
        <f>IFERROR(VLOOKUP("CAJ",'Informacion '!P:Q,2,FALSE),"")</f>
        <v>Caja</v>
      </c>
      <c r="D573" s="64">
        <v>10</v>
      </c>
      <c r="E573" s="55">
        <v>20</v>
      </c>
      <c r="F573" s="54">
        <f t="shared" ca="1" si="9"/>
        <v>200</v>
      </c>
    </row>
    <row r="574" spans="1:6" ht="14.1" customHeight="1" x14ac:dyDescent="0.25">
      <c r="A574" s="64" t="s">
        <v>777</v>
      </c>
      <c r="B574" s="53" t="str">
        <f ca="1">IFERROR(INDEX(UNSPSCDes,MATCH(INDIRECT(ADDRESS(ROW(),COLUMN()-1,4)),UNSPSCCode,0)),IF(INDIRECT(ADDRESS(ROW(),COLUMN()-1,4))="60123601","Pegante de purpurina",""))</f>
        <v>Pegante de purpurina</v>
      </c>
      <c r="C574" s="65" t="str">
        <f>IFERROR(VLOOKUP("UD",'Informacion '!P:Q,2,FALSE),"")</f>
        <v>Unidad</v>
      </c>
      <c r="D574" s="64">
        <v>1</v>
      </c>
      <c r="E574" s="55">
        <v>100</v>
      </c>
      <c r="F574" s="54">
        <f t="shared" ca="1" si="9"/>
        <v>100</v>
      </c>
    </row>
    <row r="575" spans="1:6" ht="14.1" customHeight="1" x14ac:dyDescent="0.25">
      <c r="A575" s="64" t="s">
        <v>120</v>
      </c>
      <c r="B575" s="53" t="str">
        <f ca="1">IFERROR(INDEX(UNSPSCDes,MATCH(INDIRECT(ADDRESS(ROW(),COLUMN()-1,4)),UNSPSCCode,0)),IF(INDIRECT(ADDRESS(ROW(),COLUMN()-1,4))="26111702","Pilas alcalinas",""))</f>
        <v>Pilas alcalinas</v>
      </c>
      <c r="C575" s="65" t="str">
        <f>IFERROR(VLOOKUP("PAQ",'Informacion '!P:Q,2,FALSE),"")</f>
        <v>Paquete</v>
      </c>
      <c r="D575" s="64">
        <v>1</v>
      </c>
      <c r="E575" s="55">
        <v>1100</v>
      </c>
      <c r="F575" s="54">
        <f t="shared" ca="1" si="9"/>
        <v>1100</v>
      </c>
    </row>
    <row r="576" spans="1:6" ht="14.1" customHeight="1" x14ac:dyDescent="0.25">
      <c r="A576" s="64" t="s">
        <v>120</v>
      </c>
      <c r="B576" s="53" t="str">
        <f ca="1">IFERROR(INDEX(UNSPSCDes,MATCH(INDIRECT(ADDRESS(ROW(),COLUMN()-1,4)),UNSPSCCode,0)),IF(INDIRECT(ADDRESS(ROW(),COLUMN()-1,4))="26111702","Pilas alcalinas",""))</f>
        <v>Pilas alcalinas</v>
      </c>
      <c r="C576" s="65" t="str">
        <f>IFERROR(VLOOKUP("PAQ",'Informacion '!P:Q,2,FALSE),"")</f>
        <v>Paquete</v>
      </c>
      <c r="D576" s="64">
        <v>1</v>
      </c>
      <c r="E576" s="55">
        <v>1200</v>
      </c>
      <c r="F576" s="54">
        <f t="shared" ca="1" si="9"/>
        <v>1200</v>
      </c>
    </row>
    <row r="577" spans="1:6" ht="14.1" customHeight="1" x14ac:dyDescent="0.25">
      <c r="A577" s="64" t="s">
        <v>339</v>
      </c>
      <c r="B577" s="53" t="str">
        <f ca="1">IFERROR(INDEX(UNSPSCDes,MATCH(INDIRECT(ADDRESS(ROW(),COLUMN()-1,4)),UNSPSCCode,0)),IF(INDIRECT(ADDRESS(ROW(),COLUMN()-1,4))="44122011","Folders",""))</f>
        <v>Folders</v>
      </c>
      <c r="C577" s="65" t="str">
        <f>IFERROR(VLOOKUP("CAJ",'Informacion '!P:Q,2,FALSE),"")</f>
        <v>Caja</v>
      </c>
      <c r="D577" s="64">
        <v>3</v>
      </c>
      <c r="E577" s="55">
        <v>400</v>
      </c>
      <c r="F577" s="54">
        <f t="shared" ca="1" si="9"/>
        <v>1200</v>
      </c>
    </row>
    <row r="578" spans="1:6" ht="14.1" customHeight="1" x14ac:dyDescent="0.25">
      <c r="A578" s="64" t="s">
        <v>407</v>
      </c>
      <c r="B578" s="53" t="str">
        <f ca="1">IFERROR(INDEX(UNSPSCDes,MATCH(INDIRECT(ADDRESS(ROW(),COLUMN()-1,4)),UNSPSCCode,0)),IF(INDIRECT(ADDRESS(ROW(),COLUMN()-1,4))="44121618","Tijeras",""))</f>
        <v>Tijeras</v>
      </c>
      <c r="C578" s="65" t="str">
        <f>IFERROR(VLOOKUP("UD",'Informacion '!P:Q,2,FALSE),"")</f>
        <v>Unidad</v>
      </c>
      <c r="D578" s="64">
        <v>10</v>
      </c>
      <c r="E578" s="55">
        <v>50</v>
      </c>
      <c r="F578" s="54">
        <f t="shared" ca="1" si="9"/>
        <v>500</v>
      </c>
    </row>
    <row r="579" spans="1:6" ht="14.1" customHeight="1" x14ac:dyDescent="0.25">
      <c r="A579" s="64" t="s">
        <v>648</v>
      </c>
      <c r="B579" s="53" t="str">
        <f ca="1">IFERROR(INDEX(UNSPSCDes,MATCH(INDIRECT(ADDRESS(ROW(),COLUMN()-1,4)),UNSPSCCode,0)),IF(INDIRECT(ADDRESS(ROW(),COLUMN()-1,4))="32101622","Memoria flash",""))</f>
        <v>Memoria flash</v>
      </c>
      <c r="C579" s="65" t="str">
        <f>IFERROR(VLOOKUP("UD",'Informacion '!P:Q,2,FALSE),"")</f>
        <v>Unidad</v>
      </c>
      <c r="D579" s="64">
        <v>3</v>
      </c>
      <c r="E579" s="55">
        <v>650</v>
      </c>
      <c r="F579" s="54">
        <f t="shared" ca="1" si="9"/>
        <v>1950</v>
      </c>
    </row>
    <row r="580" spans="1:6" ht="14.1" customHeight="1" x14ac:dyDescent="0.25">
      <c r="A580" s="64" t="s">
        <v>332</v>
      </c>
      <c r="B580" s="53" t="str">
        <f ca="1">IFERROR(INDEX(UNSPSCDes,MATCH(INDIRECT(ADDRESS(ROW(),COLUMN()-1,4)),UNSPSCCode,0)),IF(INDIRECT(ADDRESS(ROW(),COLUMN()-1,4))="60121111","Cartulina de sulfito",""))</f>
        <v>Cartulina de sulfito</v>
      </c>
      <c r="C580" s="65" t="str">
        <f>IFERROR(VLOOKUP("UD",'Informacion '!P:Q,2,FALSE),"")</f>
        <v>Unidad</v>
      </c>
      <c r="D580" s="64">
        <v>25</v>
      </c>
      <c r="E580" s="55">
        <v>50</v>
      </c>
      <c r="F580" s="54">
        <f t="shared" ca="1" si="9"/>
        <v>1250</v>
      </c>
    </row>
    <row r="581" spans="1:6" ht="14.1" customHeight="1" x14ac:dyDescent="0.25">
      <c r="A581" s="64" t="s">
        <v>44</v>
      </c>
      <c r="B581" s="53" t="str">
        <f ca="1">IFERROR(INDEX(UNSPSCDes,MATCH(INDIRECT(ADDRESS(ROW(),COLUMN()-1,4)),UNSPSCCode,0)),IF(INDIRECT(ADDRESS(ROW(),COLUMN()-1,4))="44122003","Carpetas",""))</f>
        <v>Carpetas</v>
      </c>
      <c r="C581" s="65" t="str">
        <f>IFERROR(VLOOKUP("UD",'Informacion '!P:Q,2,FALSE),"")</f>
        <v>Unidad</v>
      </c>
      <c r="D581" s="64">
        <v>6</v>
      </c>
      <c r="E581" s="55">
        <v>500</v>
      </c>
      <c r="F581" s="54">
        <f t="shared" ca="1" si="9"/>
        <v>3000</v>
      </c>
    </row>
    <row r="582" spans="1:6" ht="14.1" customHeight="1" x14ac:dyDescent="0.25">
      <c r="A582" s="64" t="s">
        <v>331</v>
      </c>
      <c r="B582" s="53" t="str">
        <f ca="1">IFERROR(INDEX(UNSPSCDes,MATCH(INDIRECT(ADDRESS(ROW(),COLUMN()-1,4)),UNSPSCCode,0)),IF(INDIRECT(ADDRESS(ROW(),COLUMN()-1,4))="44121619","Tajalápices manuales",""))</f>
        <v>Tajalápices manuales</v>
      </c>
      <c r="C582" s="65" t="str">
        <f>IFERROR(VLOOKUP("UD",'Informacion '!P:Q,2,FALSE),"")</f>
        <v>Unidad</v>
      </c>
      <c r="D582" s="64">
        <v>10</v>
      </c>
      <c r="E582" s="55">
        <v>15</v>
      </c>
      <c r="F582" s="54">
        <f t="shared" ca="1" si="9"/>
        <v>150</v>
      </c>
    </row>
    <row r="583" spans="1:6" ht="14.1" customHeight="1" x14ac:dyDescent="0.25">
      <c r="A583" s="64" t="s">
        <v>148</v>
      </c>
      <c r="B583" s="53" t="str">
        <f ca="1">IFERROR(INDEX(UNSPSCDes,MATCH(INDIRECT(ADDRESS(ROW(),COLUMN()-1,4)),UNSPSCCode,0)),IF(INDIRECT(ADDRESS(ROW(),COLUMN()-1,4))="44101602","Máquinas perforadoras o para unir papel",""))</f>
        <v>Máquinas perforadoras o para unir papel</v>
      </c>
      <c r="C583" s="65" t="str">
        <f>IFERROR(VLOOKUP("UD",'Informacion '!P:Q,2,FALSE),"")</f>
        <v>Unidad</v>
      </c>
      <c r="D583" s="64">
        <v>1</v>
      </c>
      <c r="E583" s="55">
        <v>200</v>
      </c>
      <c r="F583" s="54">
        <f t="shared" ca="1" si="9"/>
        <v>200</v>
      </c>
    </row>
    <row r="584" spans="1:6" ht="14.1" customHeight="1" x14ac:dyDescent="0.25">
      <c r="A584" s="64" t="s">
        <v>500</v>
      </c>
      <c r="B584" s="53" t="str">
        <f ca="1">IFERROR(INDEX(UNSPSCDes,MATCH(INDIRECT(ADDRESS(ROW(),COLUMN()-1,4)),UNSPSCCode,0)),IF(INDIRECT(ADDRESS(ROW(),COLUMN()-1,4))="44101802","Máquinas sumadoras",""))</f>
        <v>Máquinas sumadoras</v>
      </c>
      <c r="C584" s="65" t="str">
        <f>IFERROR(VLOOKUP("UD",'Informacion '!P:Q,2,FALSE),"")</f>
        <v>Unidad</v>
      </c>
      <c r="D584" s="64">
        <v>2</v>
      </c>
      <c r="E584" s="55">
        <v>5000</v>
      </c>
      <c r="F584" s="54">
        <f t="shared" ca="1" si="9"/>
        <v>10000</v>
      </c>
    </row>
    <row r="585" spans="1:6" ht="14.1" customHeight="1" x14ac:dyDescent="0.25">
      <c r="A585" s="64" t="s">
        <v>520</v>
      </c>
      <c r="B585" s="53" t="str">
        <f ca="1">IFERROR(INDEX(UNSPSCDes,MATCH(INDIRECT(ADDRESS(ROW(),COLUMN()-1,4)),UNSPSCCode,0)),IF(INDIRECT(ADDRESS(ROW(),COLUMN()-1,4))="56101529","Revisteros",""))</f>
        <v>Revisteros</v>
      </c>
      <c r="C585" s="65" t="str">
        <f>IFERROR(VLOOKUP("UD",'Informacion '!P:Q,2,FALSE),"")</f>
        <v>Unidad</v>
      </c>
      <c r="D585" s="64">
        <v>4</v>
      </c>
      <c r="E585" s="55">
        <v>300</v>
      </c>
      <c r="F585" s="54">
        <f t="shared" ca="1" si="9"/>
        <v>1200</v>
      </c>
    </row>
    <row r="586" spans="1:6" ht="14.1" customHeight="1" x14ac:dyDescent="0.25">
      <c r="A586" s="64" t="s">
        <v>643</v>
      </c>
      <c r="B586" s="53" t="str">
        <f ca="1">IFERROR(INDEX(UNSPSCDes,MATCH(INDIRECT(ADDRESS(ROW(),COLUMN()-1,4)),UNSPSCCode,0)),IF(INDIRECT(ADDRESS(ROW(),COLUMN()-1,4))="14111607","Tableros para afiches",""))</f>
        <v>Tableros para afiches</v>
      </c>
      <c r="C586" s="65" t="str">
        <f>IFERROR(VLOOKUP("UD",'Informacion '!P:Q,2,FALSE),"")</f>
        <v>Unidad</v>
      </c>
      <c r="D586" s="64">
        <v>2</v>
      </c>
      <c r="E586" s="55">
        <v>600</v>
      </c>
      <c r="F586" s="54">
        <f t="shared" ca="1" si="9"/>
        <v>1200</v>
      </c>
    </row>
    <row r="587" spans="1:6" ht="14.1" customHeight="1" x14ac:dyDescent="0.25">
      <c r="A587" s="64" t="s">
        <v>474</v>
      </c>
      <c r="B587" s="53" t="str">
        <f ca="1">IFERROR(INDEX(UNSPSCDes,MATCH(INDIRECT(ADDRESS(ROW(),COLUMN()-1,4)),UNSPSCCode,0)),IF(INDIRECT(ADDRESS(ROW(),COLUMN()-1,4))="24112407","Buzones",""))</f>
        <v>Buzones</v>
      </c>
      <c r="C587" s="65" t="str">
        <f>IFERROR(VLOOKUP("UD",'Informacion '!P:Q,2,FALSE),"")</f>
        <v>Unidad</v>
      </c>
      <c r="D587" s="64">
        <v>2</v>
      </c>
      <c r="E587" s="55">
        <v>700</v>
      </c>
      <c r="F587" s="54">
        <f t="shared" ca="1" si="9"/>
        <v>1400</v>
      </c>
    </row>
    <row r="588" spans="1:6" ht="14.1" customHeight="1" x14ac:dyDescent="0.25">
      <c r="A588" s="64" t="s">
        <v>148</v>
      </c>
      <c r="B588" s="53" t="str">
        <f ca="1">IFERROR(INDEX(UNSPSCDes,MATCH(INDIRECT(ADDRESS(ROW(),COLUMN()-1,4)),UNSPSCCode,0)),IF(INDIRECT(ADDRESS(ROW(),COLUMN()-1,4))="44101602","Máquinas perforadoras o para unir papel",""))</f>
        <v>Máquinas perforadoras o para unir papel</v>
      </c>
      <c r="C588" s="65" t="str">
        <f>IFERROR(VLOOKUP("UD",'Informacion '!P:Q,2,FALSE),"")</f>
        <v>Unidad</v>
      </c>
      <c r="D588" s="64">
        <v>3</v>
      </c>
      <c r="E588" s="55">
        <v>150</v>
      </c>
      <c r="F588" s="54">
        <f t="shared" ca="1" si="9"/>
        <v>450</v>
      </c>
    </row>
    <row r="589" spans="1:6" ht="14.1" customHeight="1" x14ac:dyDescent="0.25">
      <c r="A589" s="64" t="s">
        <v>611</v>
      </c>
      <c r="B589" s="53" t="str">
        <f ca="1">IFERROR(INDEX(UNSPSCDes,MATCH(INDIRECT(ADDRESS(ROW(),COLUMN()-1,4)),UNSPSCCode,0)),IF(INDIRECT(ADDRESS(ROW(),COLUMN()-1,4))="44101805","Cintas para calculadoras",""))</f>
        <v>Cintas para calculadoras</v>
      </c>
      <c r="C589" s="65" t="str">
        <f>IFERROR(VLOOKUP("UD",'Informacion '!P:Q,2,FALSE),"")</f>
        <v>Unidad</v>
      </c>
      <c r="D589" s="64">
        <v>40</v>
      </c>
      <c r="E589" s="55">
        <v>15</v>
      </c>
      <c r="F589" s="54">
        <f t="shared" ca="1" si="9"/>
        <v>600</v>
      </c>
    </row>
    <row r="590" spans="1:6" ht="14.1" customHeight="1" x14ac:dyDescent="0.25">
      <c r="A590" s="64" t="s">
        <v>18</v>
      </c>
      <c r="B590" s="53" t="str">
        <f ca="1">IFERROR(INDEX(UNSPSCDes,MATCH(INDIRECT(ADDRESS(ROW(),COLUMN()-1,4)),UNSPSCCode,0)),IF(INDIRECT(ADDRESS(ROW(),COLUMN()-1,4))="45101505","Máquinas impresoras de fotograbados",""))</f>
        <v>Máquinas impresoras de fotograbados</v>
      </c>
      <c r="C590" s="65" t="str">
        <f>IFERROR(VLOOKUP("UD",'Informacion '!P:Q,2,FALSE),"")</f>
        <v>Unidad</v>
      </c>
      <c r="D590" s="64">
        <v>1</v>
      </c>
      <c r="E590" s="55">
        <v>15000</v>
      </c>
      <c r="F590" s="54">
        <f t="shared" ca="1" si="9"/>
        <v>15000</v>
      </c>
    </row>
    <row r="591" spans="1:6" ht="14.1" customHeight="1" x14ac:dyDescent="0.25">
      <c r="A591" s="64" t="s">
        <v>721</v>
      </c>
      <c r="B591" s="53" t="str">
        <f ca="1">IFERROR(INDEX(UNSPSCDes,MATCH(INDIRECT(ADDRESS(ROW(),COLUMN()-1,4)),UNSPSCCode,0)),IF(INDIRECT(ADDRESS(ROW(),COLUMN()-1,4))="41113034","Tiras o papeles para prueba de ph",""))</f>
        <v>Tiras o papeles para prueba de ph</v>
      </c>
      <c r="C591" s="65" t="str">
        <f>IFERROR(VLOOKUP("UD",'Informacion '!P:Q,2,FALSE),"")</f>
        <v>Unidad</v>
      </c>
      <c r="D591" s="64">
        <v>100</v>
      </c>
      <c r="E591" s="55">
        <v>50</v>
      </c>
      <c r="F591" s="54">
        <f t="shared" ca="1" si="9"/>
        <v>5000</v>
      </c>
    </row>
    <row r="592" spans="1:6" ht="14.1" customHeight="1" x14ac:dyDescent="0.25">
      <c r="A592" s="64" t="s">
        <v>721</v>
      </c>
      <c r="B592" s="53" t="str">
        <f ca="1">IFERROR(INDEX(UNSPSCDes,MATCH(INDIRECT(ADDRESS(ROW(),COLUMN()-1,4)),UNSPSCCode,0)),IF(INDIRECT(ADDRESS(ROW(),COLUMN()-1,4))="41113034","Tiras o papeles para prueba de ph",""))</f>
        <v>Tiras o papeles para prueba de ph</v>
      </c>
      <c r="C592" s="65" t="str">
        <f>IFERROR(VLOOKUP("UD",'Informacion '!P:Q,2,FALSE),"")</f>
        <v>Unidad</v>
      </c>
      <c r="D592" s="64">
        <v>50</v>
      </c>
      <c r="E592" s="55">
        <v>60</v>
      </c>
      <c r="F592" s="54">
        <f t="shared" ca="1" si="9"/>
        <v>3000</v>
      </c>
    </row>
    <row r="593" spans="1:9" ht="14.1" customHeight="1" x14ac:dyDescent="0.25">
      <c r="E593" s="66" t="s">
        <v>581</v>
      </c>
      <c r="F593" s="58">
        <f ca="1">SUM(Table27[MONTO TOTAL ESTIMADO])</f>
        <v>70255</v>
      </c>
      <c r="G593" s="26" t="str">
        <f>C556</f>
        <v>Bienes</v>
      </c>
      <c r="H593" s="26" t="str">
        <f>E556</f>
        <v>No</v>
      </c>
      <c r="I593" s="26" t="str">
        <f>D556</f>
        <v>Compras por debajo del Umbral</v>
      </c>
    </row>
    <row r="595" spans="1:9" ht="33.950000000000003" customHeight="1" x14ac:dyDescent="0.25">
      <c r="A595" s="48" t="s">
        <v>745</v>
      </c>
      <c r="B595" s="48" t="s">
        <v>7</v>
      </c>
      <c r="C595" s="48" t="s">
        <v>533</v>
      </c>
      <c r="D595" s="48" t="s">
        <v>668</v>
      </c>
      <c r="E595" s="48" t="s">
        <v>495</v>
      </c>
      <c r="F595" s="48" t="s">
        <v>506</v>
      </c>
    </row>
    <row r="596" spans="1:9" ht="14.1" customHeight="1" x14ac:dyDescent="0.25">
      <c r="A596" s="50" t="s">
        <v>762</v>
      </c>
      <c r="B596" s="50" t="s">
        <v>369</v>
      </c>
      <c r="C596" s="50" t="s">
        <v>809</v>
      </c>
      <c r="D596" s="50" t="s">
        <v>792</v>
      </c>
      <c r="E596" s="50" t="s">
        <v>810</v>
      </c>
      <c r="F596" s="50"/>
    </row>
    <row r="597" spans="1:9" ht="14.1" customHeight="1" x14ac:dyDescent="0.25">
      <c r="A597" s="67" t="s">
        <v>688</v>
      </c>
      <c r="B597" s="51" t="s">
        <v>372</v>
      </c>
      <c r="C597" s="60">
        <v>44117</v>
      </c>
      <c r="D597" s="67" t="s">
        <v>418</v>
      </c>
      <c r="E597" s="62" t="s">
        <v>613</v>
      </c>
      <c r="F597" s="63" t="s">
        <v>122</v>
      </c>
    </row>
    <row r="598" spans="1:9" ht="14.1" customHeight="1" x14ac:dyDescent="0.25">
      <c r="A598" s="68"/>
      <c r="B598" s="51" t="s">
        <v>72</v>
      </c>
      <c r="C598" s="61">
        <f>IF(C597="","",IF(AND(MONTH(C597)&gt;=1,MONTH(C597)&lt;=3),1,IF(AND(MONTH(C597)&gt;=4,MONTH(C597)&lt;=6),2,IF(AND(MONTH(C597)&gt;=7,MONTH(C597)&lt;=9),3,4))))</f>
        <v>4</v>
      </c>
      <c r="D598" s="68"/>
      <c r="E598" s="62" t="s">
        <v>91</v>
      </c>
      <c r="F598" s="63" t="s">
        <v>670</v>
      </c>
    </row>
    <row r="599" spans="1:9" ht="14.1" customHeight="1" x14ac:dyDescent="0.25">
      <c r="A599" s="68"/>
      <c r="B599" s="51" t="s">
        <v>602</v>
      </c>
      <c r="C599" s="60">
        <v>44123</v>
      </c>
      <c r="D599" s="68"/>
      <c r="E599" s="62" t="s">
        <v>121</v>
      </c>
      <c r="F599" s="63" t="s">
        <v>195</v>
      </c>
    </row>
    <row r="600" spans="1:9" ht="14.1" customHeight="1" x14ac:dyDescent="0.25">
      <c r="A600" s="68"/>
      <c r="B600" s="51" t="s">
        <v>72</v>
      </c>
      <c r="C600" s="61">
        <f>IF(C599="","",IF(AND(MONTH(C599)&gt;=1,MONTH(C599)&lt;=3),1,IF(AND(MONTH(C599)&gt;=4,MONTH(C599)&lt;=6),2,IF(AND(MONTH(C599)&gt;=7,MONTH(C599)&lt;=9),3,4))))</f>
        <v>4</v>
      </c>
      <c r="D600" s="68"/>
      <c r="E600" s="62" t="s">
        <v>618</v>
      </c>
      <c r="F600" s="63"/>
    </row>
    <row r="602" spans="1:9" ht="14.1" customHeight="1" x14ac:dyDescent="0.25">
      <c r="A602" s="56" t="s">
        <v>724</v>
      </c>
      <c r="B602" s="56" t="s">
        <v>736</v>
      </c>
      <c r="C602" s="56" t="s">
        <v>718</v>
      </c>
      <c r="D602" s="56" t="s">
        <v>701</v>
      </c>
      <c r="E602" s="56" t="s">
        <v>308</v>
      </c>
      <c r="F602" s="56" t="s">
        <v>703</v>
      </c>
    </row>
    <row r="603" spans="1:9" ht="14.1" customHeight="1" x14ac:dyDescent="0.25">
      <c r="A603" s="64" t="s">
        <v>66</v>
      </c>
      <c r="B603" s="53" t="str">
        <f ca="1">IFERROR(INDEX(UNSPSCDes,MATCH(INDIRECT(ADDRESS(ROW(),COLUMN()-1,4)),UNSPSCCode,0)),IF(INDIRECT(ADDRESS(ROW(),COLUMN()-1,4))="45111602","Lámparas de proyección",""))</f>
        <v>Lámparas de proyección</v>
      </c>
      <c r="C603" s="65" t="str">
        <f>IFERROR(VLOOKUP("UD",'Informacion '!P:Q,2,FALSE),"")</f>
        <v>Unidad</v>
      </c>
      <c r="D603" s="64">
        <v>2</v>
      </c>
      <c r="E603" s="55">
        <v>3300</v>
      </c>
      <c r="F603" s="54">
        <f t="shared" ref="F603:F617" ca="1" si="10">INDIRECT(ADDRESS(ROW(),COLUMN()-2,4))*INDIRECT(ADDRESS(ROW(),COLUMN()-1,4))</f>
        <v>6600</v>
      </c>
    </row>
    <row r="604" spans="1:9" ht="14.1" customHeight="1" x14ac:dyDescent="0.25">
      <c r="A604" s="64" t="s">
        <v>217</v>
      </c>
      <c r="B604" s="53" t="str">
        <f ca="1">IFERROR(INDEX(UNSPSCDes,MATCH(INDIRECT(ADDRESS(ROW(),COLUMN()-1,4)),UNSPSCCode,0)),IF(INDIRECT(ADDRESS(ROW(),COLUMN()-1,4))="39121011","Fuentes ininterrumpibles de potencia",""))</f>
        <v>Fuentes ininterrumpibles de potencia</v>
      </c>
      <c r="C604" s="65" t="str">
        <f>IFERROR(VLOOKUP("UD",'Informacion '!P:Q,2,FALSE),"")</f>
        <v>Unidad</v>
      </c>
      <c r="D604" s="64">
        <v>6</v>
      </c>
      <c r="E604" s="55">
        <v>800</v>
      </c>
      <c r="F604" s="54">
        <f t="shared" ca="1" si="10"/>
        <v>4800</v>
      </c>
    </row>
    <row r="605" spans="1:9" ht="14.1" customHeight="1" x14ac:dyDescent="0.25">
      <c r="A605" s="64" t="s">
        <v>84</v>
      </c>
      <c r="B605" s="53" t="str">
        <f ca="1">IFERROR(INDEX(UNSPSCDes,MATCH(INDIRECT(ADDRESS(ROW(),COLUMN()-1,4)),UNSPSCCode,0)),IF(INDIRECT(ADDRESS(ROW(),COLUMN()-1,4))="39121409","Conectores de cables eléctricos",""))</f>
        <v>Conectores de cables eléctricos</v>
      </c>
      <c r="C605" s="65" t="str">
        <f>IFERROR(VLOOKUP("UD",'Informacion '!P:Q,2,FALSE),"")</f>
        <v>Unidad</v>
      </c>
      <c r="D605" s="64">
        <v>100</v>
      </c>
      <c r="E605" s="55">
        <v>4</v>
      </c>
      <c r="F605" s="54">
        <f t="shared" ca="1" si="10"/>
        <v>400</v>
      </c>
    </row>
    <row r="606" spans="1:9" ht="14.1" customHeight="1" x14ac:dyDescent="0.25">
      <c r="A606" s="64" t="s">
        <v>594</v>
      </c>
      <c r="B606" s="53" t="str">
        <f ca="1">IFERROR(INDEX(UNSPSCDes,MATCH(INDIRECT(ADDRESS(ROW(),COLUMN()-1,4)),UNSPSCCode,0)),IF(INDIRECT(ADDRESS(ROW(),COLUMN()-1,4))="26121609","Cable de redes",""))</f>
        <v>Cable de redes</v>
      </c>
      <c r="C606" s="65" t="str">
        <f>IFERROR(VLOOKUP("CAJ",'Informacion '!P:Q,2,FALSE),"")</f>
        <v>Caja</v>
      </c>
      <c r="D606" s="64">
        <v>2</v>
      </c>
      <c r="E606" s="55">
        <v>3600</v>
      </c>
      <c r="F606" s="54">
        <f t="shared" ca="1" si="10"/>
        <v>7200</v>
      </c>
    </row>
    <row r="607" spans="1:9" ht="14.1" customHeight="1" x14ac:dyDescent="0.25">
      <c r="A607" s="64" t="s">
        <v>284</v>
      </c>
      <c r="B607" s="53" t="str">
        <f ca="1">IFERROR(INDEX(UNSPSCDes,MATCH(INDIRECT(ADDRESS(ROW(),COLUMN()-1,4)),UNSPSCCode,0)),IF(INDIRECT(ADDRESS(ROW(),COLUMN()-1,4))="43211708","Mouse o bola de seguimiento para computador",""))</f>
        <v>Mouse o bola de seguimiento para computador</v>
      </c>
      <c r="C607" s="65" t="str">
        <f>IFERROR(VLOOKUP("UD",'Informacion '!P:Q,2,FALSE),"")</f>
        <v>Unidad</v>
      </c>
      <c r="D607" s="64">
        <v>8</v>
      </c>
      <c r="E607" s="55">
        <v>150</v>
      </c>
      <c r="F607" s="54">
        <f t="shared" ca="1" si="10"/>
        <v>1200</v>
      </c>
    </row>
    <row r="608" spans="1:9" ht="14.1" customHeight="1" x14ac:dyDescent="0.25">
      <c r="A608" s="64" t="s">
        <v>241</v>
      </c>
      <c r="B608" s="53" t="str">
        <f ca="1">IFERROR(INDEX(UNSPSCDes,MATCH(INDIRECT(ADDRESS(ROW(),COLUMN()-1,4)),UNSPSCCode,0)),IF(INDIRECT(ADDRESS(ROW(),COLUMN()-1,4))="43202205","Teclas o teclados",""))</f>
        <v>Teclas o teclados</v>
      </c>
      <c r="C608" s="65" t="str">
        <f>IFERROR(VLOOKUP("UD",'Informacion '!P:Q,2,FALSE),"")</f>
        <v>Unidad</v>
      </c>
      <c r="D608" s="64">
        <v>8</v>
      </c>
      <c r="E608" s="55">
        <v>250</v>
      </c>
      <c r="F608" s="54">
        <f t="shared" ca="1" si="10"/>
        <v>2000</v>
      </c>
    </row>
    <row r="609" spans="1:9" ht="14.1" customHeight="1" x14ac:dyDescent="0.25">
      <c r="A609" s="64" t="s">
        <v>707</v>
      </c>
      <c r="B609" s="53" t="str">
        <f ca="1">IFERROR(INDEX(UNSPSCDes,MATCH(INDIRECT(ADDRESS(ROW(),COLUMN()-1,4)),UNSPSCCode,0)),IF(INDIRECT(ADDRESS(ROW(),COLUMN()-1,4))="43221516","Monitores de estado de líneas telefónicas",""))</f>
        <v>Monitores de estado de líneas telefónicas</v>
      </c>
      <c r="C609" s="65" t="str">
        <f>IFERROR(VLOOKUP("UD",'Informacion '!P:Q,2,FALSE),"")</f>
        <v>Unidad</v>
      </c>
      <c r="D609" s="64">
        <v>2</v>
      </c>
      <c r="E609" s="55">
        <v>5500</v>
      </c>
      <c r="F609" s="54">
        <f t="shared" ca="1" si="10"/>
        <v>11000</v>
      </c>
    </row>
    <row r="610" spans="1:9" ht="14.1" customHeight="1" x14ac:dyDescent="0.25">
      <c r="A610" s="64" t="s">
        <v>191</v>
      </c>
      <c r="B610" s="53" t="str">
        <f ca="1">IFERROR(INDEX(UNSPSCDes,MATCH(INDIRECT(ADDRESS(ROW(),COLUMN()-1,4)),UNSPSCCode,0)),IF(INDIRECT(ADDRESS(ROW(),COLUMN()-1,4))="43222612","Interruptores de red",""))</f>
        <v>Interruptores de red</v>
      </c>
      <c r="C610" s="65" t="str">
        <f>IFERROR(VLOOKUP("UD",'Informacion '!P:Q,2,FALSE),"")</f>
        <v>Unidad</v>
      </c>
      <c r="D610" s="64">
        <v>2</v>
      </c>
      <c r="E610" s="55">
        <v>12000</v>
      </c>
      <c r="F610" s="54">
        <f t="shared" ca="1" si="10"/>
        <v>24000</v>
      </c>
    </row>
    <row r="611" spans="1:9" ht="14.1" customHeight="1" x14ac:dyDescent="0.25">
      <c r="A611" s="64" t="s">
        <v>504</v>
      </c>
      <c r="B611" s="53" t="str">
        <f ca="1">IFERROR(INDEX(UNSPSCDes,MATCH(INDIRECT(ADDRESS(ROW(),COLUMN()-1,4)),UNSPSCCode,0)),IF(INDIRECT(ADDRESS(ROW(),COLUMN()-1,4))="43211507","Computadores de escritorio",""))</f>
        <v>Computadores de escritorio</v>
      </c>
      <c r="C611" s="65" t="str">
        <f>IFERROR(VLOOKUP("UD",'Informacion '!P:Q,2,FALSE),"")</f>
        <v>Unidad</v>
      </c>
      <c r="D611" s="64">
        <v>4</v>
      </c>
      <c r="E611" s="55">
        <v>29500</v>
      </c>
      <c r="F611" s="54">
        <f t="shared" ca="1" si="10"/>
        <v>118000</v>
      </c>
    </row>
    <row r="612" spans="1:9" ht="14.1" customHeight="1" x14ac:dyDescent="0.25">
      <c r="A612" s="64" t="s">
        <v>337</v>
      </c>
      <c r="B612" s="53" t="str">
        <f ca="1">IFERROR(INDEX(UNSPSCDes,MATCH(INDIRECT(ADDRESS(ROW(),COLUMN()-1,4)),UNSPSCCode,0)),IF(INDIRECT(ADDRESS(ROW(),COLUMN()-1,4))="32101601","Memoria de acceso aleatorio (ram)",""))</f>
        <v>Memoria de acceso aleatorio (ram)</v>
      </c>
      <c r="C612" s="65" t="str">
        <f>IFERROR(VLOOKUP("UD",'Informacion '!P:Q,2,FALSE),"")</f>
        <v>Unidad</v>
      </c>
      <c r="D612" s="64">
        <v>5</v>
      </c>
      <c r="E612" s="55">
        <v>2500</v>
      </c>
      <c r="F612" s="54">
        <f t="shared" ca="1" si="10"/>
        <v>12500</v>
      </c>
    </row>
    <row r="613" spans="1:9" ht="14.1" customHeight="1" x14ac:dyDescent="0.25">
      <c r="A613" s="64" t="s">
        <v>497</v>
      </c>
      <c r="B613" s="53" t="str">
        <f ca="1">IFERROR(INDEX(UNSPSCDes,MATCH(INDIRECT(ADDRESS(ROW(),COLUMN()-1,4)),UNSPSCCode,0)),IF(INDIRECT(ADDRESS(ROW(),COLUMN()-1,4))="43201803","Unidades de disco duro",""))</f>
        <v>Unidades de disco duro</v>
      </c>
      <c r="C613" s="65" t="str">
        <f>IFERROR(VLOOKUP("UD",'Informacion '!P:Q,2,FALSE),"")</f>
        <v>Unidad</v>
      </c>
      <c r="D613" s="64">
        <v>2</v>
      </c>
      <c r="E613" s="55">
        <v>2800</v>
      </c>
      <c r="F613" s="54">
        <f t="shared" ca="1" si="10"/>
        <v>5600</v>
      </c>
    </row>
    <row r="614" spans="1:9" ht="14.1" customHeight="1" x14ac:dyDescent="0.25">
      <c r="A614" s="64" t="s">
        <v>166</v>
      </c>
      <c r="B614" s="53" t="str">
        <f ca="1">IFERROR(INDEX(UNSPSCDes,MATCH(INDIRECT(ADDRESS(ROW(),COLUMN()-1,4)),UNSPSCCode,0)),IF(INDIRECT(ADDRESS(ROW(),COLUMN()-1,4))="43191606","Auriculares de teléfonos",""))</f>
        <v>Auriculares de teléfonos</v>
      </c>
      <c r="C614" s="65" t="str">
        <f>IFERROR(VLOOKUP("UD",'Informacion '!P:Q,2,FALSE),"")</f>
        <v>Unidad</v>
      </c>
      <c r="D614" s="64">
        <v>5</v>
      </c>
      <c r="E614" s="55">
        <v>500</v>
      </c>
      <c r="F614" s="54">
        <f t="shared" ca="1" si="10"/>
        <v>2500</v>
      </c>
    </row>
    <row r="615" spans="1:9" ht="14.1" customHeight="1" x14ac:dyDescent="0.25">
      <c r="A615" s="64" t="s">
        <v>132</v>
      </c>
      <c r="B615" s="53" t="str">
        <f ca="1">IFERROR(INDEX(UNSPSCDes,MATCH(INDIRECT(ADDRESS(ROW(),COLUMN()-1,4)),UNSPSCCode,0)),IF(INDIRECT(ADDRESS(ROW(),COLUMN()-1,4))="32101637","Procesadores de red",""))</f>
        <v>Procesadores de red</v>
      </c>
      <c r="C615" s="65" t="str">
        <f>IFERROR(VLOOKUP("UD",'Informacion '!P:Q,2,FALSE),"")</f>
        <v>Unidad</v>
      </c>
      <c r="D615" s="64">
        <v>3</v>
      </c>
      <c r="E615" s="55">
        <v>3900</v>
      </c>
      <c r="F615" s="54">
        <f t="shared" ca="1" si="10"/>
        <v>11700</v>
      </c>
    </row>
    <row r="616" spans="1:9" ht="14.1" customHeight="1" x14ac:dyDescent="0.25">
      <c r="A616" s="64" t="s">
        <v>594</v>
      </c>
      <c r="B616" s="53" t="str">
        <f ca="1">IFERROR(INDEX(UNSPSCDes,MATCH(INDIRECT(ADDRESS(ROW(),COLUMN()-1,4)),UNSPSCCode,0)),IF(INDIRECT(ADDRESS(ROW(),COLUMN()-1,4))="26121609","Cable de redes",""))</f>
        <v>Cable de redes</v>
      </c>
      <c r="C616" s="65" t="str">
        <f>IFERROR(VLOOKUP("UD",'Informacion '!P:Q,2,FALSE),"")</f>
        <v>Unidad</v>
      </c>
      <c r="D616" s="64">
        <v>50</v>
      </c>
      <c r="E616" s="55">
        <v>150</v>
      </c>
      <c r="F616" s="54">
        <f t="shared" ca="1" si="10"/>
        <v>7500</v>
      </c>
    </row>
    <row r="617" spans="1:9" ht="14.1" customHeight="1" x14ac:dyDescent="0.25">
      <c r="A617" s="64" t="s">
        <v>142</v>
      </c>
      <c r="B617" s="53" t="str">
        <f ca="1">IFERROR(INDEX(UNSPSCDes,MATCH(INDIRECT(ADDRESS(ROW(),COLUMN()-1,4)),UNSPSCCode,0)),IF(INDIRECT(ADDRESS(ROW(),COLUMN()-1,4))="43201403","Tarjetas de módem",""))</f>
        <v>Tarjetas de módem</v>
      </c>
      <c r="C617" s="65" t="str">
        <f>IFERROR(VLOOKUP("UD",'Informacion '!P:Q,2,FALSE),"")</f>
        <v>Unidad</v>
      </c>
      <c r="D617" s="64">
        <v>3</v>
      </c>
      <c r="E617" s="55">
        <v>5600</v>
      </c>
      <c r="F617" s="54">
        <f t="shared" ca="1" si="10"/>
        <v>16800</v>
      </c>
    </row>
    <row r="618" spans="1:9" ht="14.1" customHeight="1" x14ac:dyDescent="0.25">
      <c r="E618" s="66" t="s">
        <v>581</v>
      </c>
      <c r="F618" s="58">
        <f ca="1">SUM(Table28[MONTO TOTAL ESTIMADO])</f>
        <v>231800</v>
      </c>
      <c r="G618" s="26" t="str">
        <f>C596</f>
        <v>Bienes</v>
      </c>
      <c r="H618" s="26" t="str">
        <f>E596</f>
        <v>No</v>
      </c>
      <c r="I618" s="26" t="str">
        <f>D596</f>
        <v>Compras Menores</v>
      </c>
    </row>
    <row r="620" spans="1:9" ht="33.950000000000003" customHeight="1" x14ac:dyDescent="0.25">
      <c r="A620" s="48" t="s">
        <v>745</v>
      </c>
      <c r="B620" s="48" t="s">
        <v>7</v>
      </c>
      <c r="C620" s="48" t="s">
        <v>533</v>
      </c>
      <c r="D620" s="48" t="s">
        <v>668</v>
      </c>
      <c r="E620" s="48" t="s">
        <v>495</v>
      </c>
      <c r="F620" s="48" t="s">
        <v>506</v>
      </c>
    </row>
    <row r="621" spans="1:9" ht="14.1" customHeight="1" x14ac:dyDescent="0.25">
      <c r="A621" s="50" t="s">
        <v>538</v>
      </c>
      <c r="B621" s="50" t="s">
        <v>465</v>
      </c>
      <c r="C621" s="50" t="s">
        <v>809</v>
      </c>
      <c r="D621" s="50" t="s">
        <v>792</v>
      </c>
      <c r="E621" s="50" t="s">
        <v>810</v>
      </c>
      <c r="F621" s="50"/>
    </row>
    <row r="622" spans="1:9" ht="14.1" customHeight="1" x14ac:dyDescent="0.25">
      <c r="A622" s="67" t="s">
        <v>688</v>
      </c>
      <c r="B622" s="51" t="s">
        <v>372</v>
      </c>
      <c r="C622" s="60">
        <v>44082</v>
      </c>
      <c r="D622" s="67" t="s">
        <v>418</v>
      </c>
      <c r="E622" s="62" t="s">
        <v>613</v>
      </c>
      <c r="F622" s="63" t="s">
        <v>122</v>
      </c>
    </row>
    <row r="623" spans="1:9" ht="14.1" customHeight="1" x14ac:dyDescent="0.25">
      <c r="A623" s="68"/>
      <c r="B623" s="51" t="s">
        <v>72</v>
      </c>
      <c r="C623" s="61">
        <f>IF(C622="","",IF(AND(MONTH(C622)&gt;=1,MONTH(C622)&lt;=3),1,IF(AND(MONTH(C622)&gt;=4,MONTH(C622)&lt;=6),2,IF(AND(MONTH(C622)&gt;=7,MONTH(C622)&lt;=9),3,4))))</f>
        <v>3</v>
      </c>
      <c r="D623" s="68"/>
      <c r="E623" s="62" t="s">
        <v>91</v>
      </c>
      <c r="F623" s="63" t="s">
        <v>670</v>
      </c>
    </row>
    <row r="624" spans="1:9" ht="14.1" customHeight="1" x14ac:dyDescent="0.25">
      <c r="A624" s="68"/>
      <c r="B624" s="51" t="s">
        <v>602</v>
      </c>
      <c r="C624" s="60">
        <v>44090</v>
      </c>
      <c r="D624" s="68"/>
      <c r="E624" s="62" t="s">
        <v>121</v>
      </c>
      <c r="F624" s="63" t="s">
        <v>195</v>
      </c>
    </row>
    <row r="625" spans="1:6" ht="14.1" customHeight="1" x14ac:dyDescent="0.25">
      <c r="A625" s="68"/>
      <c r="B625" s="51" t="s">
        <v>72</v>
      </c>
      <c r="C625" s="61">
        <f>IF(C624="","",IF(AND(MONTH(C624)&gt;=1,MONTH(C624)&lt;=3),1,IF(AND(MONTH(C624)&gt;=4,MONTH(C624)&lt;=6),2,IF(AND(MONTH(C624)&gt;=7,MONTH(C624)&lt;=9),3,4))))</f>
        <v>3</v>
      </c>
      <c r="D625" s="68"/>
      <c r="E625" s="62" t="s">
        <v>618</v>
      </c>
      <c r="F625" s="63"/>
    </row>
    <row r="627" spans="1:6" ht="14.1" customHeight="1" x14ac:dyDescent="0.25">
      <c r="A627" s="56" t="s">
        <v>724</v>
      </c>
      <c r="B627" s="56" t="s">
        <v>736</v>
      </c>
      <c r="C627" s="56" t="s">
        <v>718</v>
      </c>
      <c r="D627" s="56" t="s">
        <v>701</v>
      </c>
      <c r="E627" s="56" t="s">
        <v>308</v>
      </c>
      <c r="F627" s="56" t="s">
        <v>703</v>
      </c>
    </row>
    <row r="628" spans="1:6" ht="14.1" customHeight="1" x14ac:dyDescent="0.25">
      <c r="A628" s="64" t="s">
        <v>657</v>
      </c>
      <c r="B628" s="53" t="str">
        <f t="shared" ref="B628:B646" ca="1" si="11">IFERROR(INDEX(UNSPSCDes,MATCH(INDIRECT(ADDRESS(ROW(),COLUMN()-1,4)),UNSPSCCode,0)),IF(INDIRECT(ADDRESS(ROW(),COLUMN()-1,4))="72102404","Aplicación de pintura industrial o especializada (aviones, barcos, puentes)",""))</f>
        <v>Aplicación de pintura industrial o especializada (aviones, barcos, puentes)</v>
      </c>
      <c r="C628" s="65" t="str">
        <f>IFERROR(VLOOKUP("UD",'Informacion '!P:Q,2,FALSE),"")</f>
        <v>Unidad</v>
      </c>
      <c r="D628" s="64">
        <v>40</v>
      </c>
      <c r="E628" s="55">
        <v>3000</v>
      </c>
      <c r="F628" s="54">
        <f t="shared" ref="F628:F653" ca="1" si="12">INDIRECT(ADDRESS(ROW(),COLUMN()-2,4))*INDIRECT(ADDRESS(ROW(),COLUMN()-1,4))</f>
        <v>120000</v>
      </c>
    </row>
    <row r="629" spans="1:6" ht="14.1" customHeight="1" x14ac:dyDescent="0.25">
      <c r="A629" s="64" t="s">
        <v>657</v>
      </c>
      <c r="B629" s="53" t="str">
        <f t="shared" ca="1" si="11"/>
        <v>Aplicación de pintura industrial o especializada (aviones, barcos, puentes)</v>
      </c>
      <c r="C629" s="65" t="str">
        <f>IFERROR(VLOOKUP("UD",'Informacion '!P:Q,2,FALSE),"")</f>
        <v>Unidad</v>
      </c>
      <c r="D629" s="64">
        <v>30</v>
      </c>
      <c r="E629" s="55">
        <v>2800</v>
      </c>
      <c r="F629" s="54">
        <f t="shared" ca="1" si="12"/>
        <v>84000</v>
      </c>
    </row>
    <row r="630" spans="1:6" ht="14.1" customHeight="1" x14ac:dyDescent="0.25">
      <c r="A630" s="64" t="s">
        <v>657</v>
      </c>
      <c r="B630" s="53" t="str">
        <f t="shared" ca="1" si="11"/>
        <v>Aplicación de pintura industrial o especializada (aviones, barcos, puentes)</v>
      </c>
      <c r="C630" s="65" t="str">
        <f>IFERROR(VLOOKUP("UD",'Informacion '!P:Q,2,FALSE),"")</f>
        <v>Unidad</v>
      </c>
      <c r="D630" s="64">
        <v>20</v>
      </c>
      <c r="E630" s="55">
        <v>2800</v>
      </c>
      <c r="F630" s="54">
        <f t="shared" ca="1" si="12"/>
        <v>56000</v>
      </c>
    </row>
    <row r="631" spans="1:6" ht="14.1" customHeight="1" x14ac:dyDescent="0.25">
      <c r="A631" s="64" t="s">
        <v>657</v>
      </c>
      <c r="B631" s="53" t="str">
        <f t="shared" ca="1" si="11"/>
        <v>Aplicación de pintura industrial o especializada (aviones, barcos, puentes)</v>
      </c>
      <c r="C631" s="65" t="str">
        <f>IFERROR(VLOOKUP("UD",'Informacion '!P:Q,2,FALSE),"")</f>
        <v>Unidad</v>
      </c>
      <c r="D631" s="64">
        <v>20</v>
      </c>
      <c r="E631" s="55">
        <v>2800</v>
      </c>
      <c r="F631" s="54">
        <f t="shared" ca="1" si="12"/>
        <v>56000</v>
      </c>
    </row>
    <row r="632" spans="1:6" ht="14.1" customHeight="1" x14ac:dyDescent="0.25">
      <c r="A632" s="64" t="s">
        <v>657</v>
      </c>
      <c r="B632" s="53" t="str">
        <f t="shared" ca="1" si="11"/>
        <v>Aplicación de pintura industrial o especializada (aviones, barcos, puentes)</v>
      </c>
      <c r="C632" s="65" t="str">
        <f>IFERROR(VLOOKUP("UD",'Informacion '!P:Q,2,FALSE),"")</f>
        <v>Unidad</v>
      </c>
      <c r="D632" s="64">
        <v>20</v>
      </c>
      <c r="E632" s="55">
        <v>2800</v>
      </c>
      <c r="F632" s="54">
        <f t="shared" ca="1" si="12"/>
        <v>56000</v>
      </c>
    </row>
    <row r="633" spans="1:6" ht="14.1" customHeight="1" x14ac:dyDescent="0.25">
      <c r="A633" s="64" t="s">
        <v>657</v>
      </c>
      <c r="B633" s="53" t="str">
        <f t="shared" ca="1" si="11"/>
        <v>Aplicación de pintura industrial o especializada (aviones, barcos, puentes)</v>
      </c>
      <c r="C633" s="65" t="str">
        <f>IFERROR(VLOOKUP("GAL",'Informacion '!P:Q,2,FALSE),"")</f>
        <v>Galón</v>
      </c>
      <c r="D633" s="64">
        <v>20</v>
      </c>
      <c r="E633" s="55">
        <v>1200</v>
      </c>
      <c r="F633" s="54">
        <f t="shared" ca="1" si="12"/>
        <v>24000</v>
      </c>
    </row>
    <row r="634" spans="1:6" ht="14.1" customHeight="1" x14ac:dyDescent="0.25">
      <c r="A634" s="64" t="s">
        <v>657</v>
      </c>
      <c r="B634" s="53" t="str">
        <f t="shared" ca="1" si="11"/>
        <v>Aplicación de pintura industrial o especializada (aviones, barcos, puentes)</v>
      </c>
      <c r="C634" s="65" t="str">
        <f>IFERROR(VLOOKUP("GAL",'Informacion '!P:Q,2,FALSE),"")</f>
        <v>Galón</v>
      </c>
      <c r="D634" s="64">
        <v>20</v>
      </c>
      <c r="E634" s="55">
        <v>2300</v>
      </c>
      <c r="F634" s="54">
        <f t="shared" ca="1" si="12"/>
        <v>46000</v>
      </c>
    </row>
    <row r="635" spans="1:6" ht="14.1" customHeight="1" x14ac:dyDescent="0.25">
      <c r="A635" s="64" t="s">
        <v>657</v>
      </c>
      <c r="B635" s="53" t="str">
        <f t="shared" ca="1" si="11"/>
        <v>Aplicación de pintura industrial o especializada (aviones, barcos, puentes)</v>
      </c>
      <c r="C635" s="65" t="str">
        <f>IFERROR(VLOOKUP("GAL",'Informacion '!P:Q,2,FALSE),"")</f>
        <v>Galón</v>
      </c>
      <c r="D635" s="64">
        <v>20</v>
      </c>
      <c r="E635" s="55">
        <v>2300</v>
      </c>
      <c r="F635" s="54">
        <f t="shared" ca="1" si="12"/>
        <v>46000</v>
      </c>
    </row>
    <row r="636" spans="1:6" ht="14.1" customHeight="1" x14ac:dyDescent="0.25">
      <c r="A636" s="64" t="s">
        <v>657</v>
      </c>
      <c r="B636" s="53" t="str">
        <f t="shared" ca="1" si="11"/>
        <v>Aplicación de pintura industrial o especializada (aviones, barcos, puentes)</v>
      </c>
      <c r="C636" s="65" t="str">
        <f>IFERROR(VLOOKUP("GAL",'Informacion '!P:Q,2,FALSE),"")</f>
        <v>Galón</v>
      </c>
      <c r="D636" s="64">
        <v>10</v>
      </c>
      <c r="E636" s="55">
        <v>2300</v>
      </c>
      <c r="F636" s="54">
        <f t="shared" ca="1" si="12"/>
        <v>23000</v>
      </c>
    </row>
    <row r="637" spans="1:6" ht="14.1" customHeight="1" x14ac:dyDescent="0.25">
      <c r="A637" s="64" t="s">
        <v>657</v>
      </c>
      <c r="B637" s="53" t="str">
        <f t="shared" ca="1" si="11"/>
        <v>Aplicación de pintura industrial o especializada (aviones, barcos, puentes)</v>
      </c>
      <c r="C637" s="65" t="str">
        <f>IFERROR(VLOOKUP("GAL",'Informacion '!P:Q,2,FALSE),"")</f>
        <v>Galón</v>
      </c>
      <c r="D637" s="64">
        <v>15</v>
      </c>
      <c r="E637" s="55">
        <v>2300</v>
      </c>
      <c r="F637" s="54">
        <f t="shared" ca="1" si="12"/>
        <v>34500</v>
      </c>
    </row>
    <row r="638" spans="1:6" ht="14.1" customHeight="1" x14ac:dyDescent="0.25">
      <c r="A638" s="64" t="s">
        <v>657</v>
      </c>
      <c r="B638" s="53" t="str">
        <f t="shared" ca="1" si="11"/>
        <v>Aplicación de pintura industrial o especializada (aviones, barcos, puentes)</v>
      </c>
      <c r="C638" s="65" t="str">
        <f>IFERROR(VLOOKUP("GAL",'Informacion '!P:Q,2,FALSE),"")</f>
        <v>Galón</v>
      </c>
      <c r="D638" s="64">
        <v>10</v>
      </c>
      <c r="E638" s="55">
        <v>2300</v>
      </c>
      <c r="F638" s="54">
        <f t="shared" ca="1" si="12"/>
        <v>23000</v>
      </c>
    </row>
    <row r="639" spans="1:6" ht="14.1" customHeight="1" x14ac:dyDescent="0.25">
      <c r="A639" s="64" t="s">
        <v>657</v>
      </c>
      <c r="B639" s="53" t="str">
        <f t="shared" ca="1" si="11"/>
        <v>Aplicación de pintura industrial o especializada (aviones, barcos, puentes)</v>
      </c>
      <c r="C639" s="65" t="str">
        <f>IFERROR(VLOOKUP("GAL",'Informacion '!P:Q,2,FALSE),"")</f>
        <v>Galón</v>
      </c>
      <c r="D639" s="64">
        <v>10</v>
      </c>
      <c r="E639" s="55">
        <v>2300</v>
      </c>
      <c r="F639" s="54">
        <f t="shared" ca="1" si="12"/>
        <v>23000</v>
      </c>
    </row>
    <row r="640" spans="1:6" ht="14.1" customHeight="1" x14ac:dyDescent="0.25">
      <c r="A640" s="64" t="s">
        <v>657</v>
      </c>
      <c r="B640" s="53" t="str">
        <f t="shared" ca="1" si="11"/>
        <v>Aplicación de pintura industrial o especializada (aviones, barcos, puentes)</v>
      </c>
      <c r="C640" s="65" t="str">
        <f>IFERROR(VLOOKUP("GAL",'Informacion '!P:Q,2,FALSE),"")</f>
        <v>Galón</v>
      </c>
      <c r="D640" s="64">
        <v>20</v>
      </c>
      <c r="E640" s="55">
        <v>1200</v>
      </c>
      <c r="F640" s="54">
        <f t="shared" ca="1" si="12"/>
        <v>24000</v>
      </c>
    </row>
    <row r="641" spans="1:9" ht="14.1" customHeight="1" x14ac:dyDescent="0.25">
      <c r="A641" s="64" t="s">
        <v>657</v>
      </c>
      <c r="B641" s="53" t="str">
        <f t="shared" ca="1" si="11"/>
        <v>Aplicación de pintura industrial o especializada (aviones, barcos, puentes)</v>
      </c>
      <c r="C641" s="65" t="str">
        <f>IFERROR(VLOOKUP("GAL",'Informacion '!P:Q,2,FALSE),"")</f>
        <v>Galón</v>
      </c>
      <c r="D641" s="64">
        <v>40</v>
      </c>
      <c r="E641" s="55">
        <v>2300</v>
      </c>
      <c r="F641" s="54">
        <f t="shared" ca="1" si="12"/>
        <v>92000</v>
      </c>
    </row>
    <row r="642" spans="1:9" ht="14.1" customHeight="1" x14ac:dyDescent="0.25">
      <c r="A642" s="64" t="s">
        <v>657</v>
      </c>
      <c r="B642" s="53" t="str">
        <f t="shared" ca="1" si="11"/>
        <v>Aplicación de pintura industrial o especializada (aviones, barcos, puentes)</v>
      </c>
      <c r="C642" s="65" t="str">
        <f>IFERROR(VLOOKUP("GAL",'Informacion '!P:Q,2,FALSE),"")</f>
        <v>Galón</v>
      </c>
      <c r="D642" s="64">
        <v>20</v>
      </c>
      <c r="E642" s="55">
        <v>1200</v>
      </c>
      <c r="F642" s="54">
        <f t="shared" ca="1" si="12"/>
        <v>24000</v>
      </c>
    </row>
    <row r="643" spans="1:9" ht="14.1" customHeight="1" x14ac:dyDescent="0.25">
      <c r="A643" s="64" t="s">
        <v>657</v>
      </c>
      <c r="B643" s="53" t="str">
        <f t="shared" ca="1" si="11"/>
        <v>Aplicación de pintura industrial o especializada (aviones, barcos, puentes)</v>
      </c>
      <c r="C643" s="65" t="str">
        <f>IFERROR(VLOOKUP("GAL",'Informacion '!P:Q,2,FALSE),"")</f>
        <v>Galón</v>
      </c>
      <c r="D643" s="64">
        <v>20</v>
      </c>
      <c r="E643" s="55">
        <v>1200</v>
      </c>
      <c r="F643" s="54">
        <f t="shared" ca="1" si="12"/>
        <v>24000</v>
      </c>
    </row>
    <row r="644" spans="1:9" ht="14.1" customHeight="1" x14ac:dyDescent="0.25">
      <c r="A644" s="64" t="s">
        <v>657</v>
      </c>
      <c r="B644" s="53" t="str">
        <f t="shared" ca="1" si="11"/>
        <v>Aplicación de pintura industrial o especializada (aviones, barcos, puentes)</v>
      </c>
      <c r="C644" s="65" t="str">
        <f>IFERROR(VLOOKUP("GAL",'Informacion '!P:Q,2,FALSE),"")</f>
        <v>Galón</v>
      </c>
      <c r="D644" s="64">
        <v>20</v>
      </c>
      <c r="E644" s="55">
        <v>1200</v>
      </c>
      <c r="F644" s="54">
        <f t="shared" ca="1" si="12"/>
        <v>24000</v>
      </c>
    </row>
    <row r="645" spans="1:9" ht="14.1" customHeight="1" x14ac:dyDescent="0.25">
      <c r="A645" s="64" t="s">
        <v>657</v>
      </c>
      <c r="B645" s="53" t="str">
        <f t="shared" ca="1" si="11"/>
        <v>Aplicación de pintura industrial o especializada (aviones, barcos, puentes)</v>
      </c>
      <c r="C645" s="65" t="str">
        <f>IFERROR(VLOOKUP("UD",'Informacion '!P:Q,2,FALSE),"")</f>
        <v>Unidad</v>
      </c>
      <c r="D645" s="64">
        <v>20</v>
      </c>
      <c r="E645" s="55">
        <v>3500</v>
      </c>
      <c r="F645" s="54">
        <f t="shared" ca="1" si="12"/>
        <v>70000</v>
      </c>
    </row>
    <row r="646" spans="1:9" ht="14.1" customHeight="1" x14ac:dyDescent="0.25">
      <c r="A646" s="64" t="s">
        <v>657</v>
      </c>
      <c r="B646" s="53" t="str">
        <f t="shared" ca="1" si="11"/>
        <v>Aplicación de pintura industrial o especializada (aviones, barcos, puentes)</v>
      </c>
      <c r="C646" s="65" t="str">
        <f>IFERROR(VLOOKUP("GAL",'Informacion '!P:Q,2,FALSE),"")</f>
        <v>Galón</v>
      </c>
      <c r="D646" s="64">
        <v>20</v>
      </c>
      <c r="E646" s="55">
        <v>2000</v>
      </c>
      <c r="F646" s="54">
        <f t="shared" ca="1" si="12"/>
        <v>40000</v>
      </c>
    </row>
    <row r="647" spans="1:9" ht="14.1" customHeight="1" x14ac:dyDescent="0.25">
      <c r="A647" s="64" t="s">
        <v>738</v>
      </c>
      <c r="B647" s="53" t="str">
        <f ca="1">IFERROR(INDEX(UNSPSCDes,MATCH(INDIRECT(ADDRESS(ROW(),COLUMN()-1,4)),UNSPSCCode,0)),IF(INDIRECT(ADDRESS(ROW(),COLUMN()-1,4))="31211904","Brochas",""))</f>
        <v>Brochas</v>
      </c>
      <c r="C647" s="65" t="str">
        <f>IFERROR(VLOOKUP("UD",'Informacion '!P:Q,2,FALSE),"")</f>
        <v>Unidad</v>
      </c>
      <c r="D647" s="64">
        <v>50</v>
      </c>
      <c r="E647" s="55">
        <v>40</v>
      </c>
      <c r="F647" s="54">
        <f t="shared" ca="1" si="12"/>
        <v>2000</v>
      </c>
    </row>
    <row r="648" spans="1:9" ht="14.1" customHeight="1" x14ac:dyDescent="0.25">
      <c r="A648" s="64" t="s">
        <v>738</v>
      </c>
      <c r="B648" s="53" t="str">
        <f ca="1">IFERROR(INDEX(UNSPSCDes,MATCH(INDIRECT(ADDRESS(ROW(),COLUMN()-1,4)),UNSPSCCode,0)),IF(INDIRECT(ADDRESS(ROW(),COLUMN()-1,4))="31211904","Brochas",""))</f>
        <v>Brochas</v>
      </c>
      <c r="C648" s="65" t="str">
        <f>IFERROR(VLOOKUP("UD",'Informacion '!P:Q,2,FALSE),"")</f>
        <v>Unidad</v>
      </c>
      <c r="D648" s="64">
        <v>50</v>
      </c>
      <c r="E648" s="55">
        <v>60</v>
      </c>
      <c r="F648" s="54">
        <f t="shared" ca="1" si="12"/>
        <v>3000</v>
      </c>
    </row>
    <row r="649" spans="1:9" ht="14.1" customHeight="1" x14ac:dyDescent="0.25">
      <c r="A649" s="64" t="s">
        <v>738</v>
      </c>
      <c r="B649" s="53" t="str">
        <f ca="1">IFERROR(INDEX(UNSPSCDes,MATCH(INDIRECT(ADDRESS(ROW(),COLUMN()-1,4)),UNSPSCCode,0)),IF(INDIRECT(ADDRESS(ROW(),COLUMN()-1,4))="31211904","Brochas",""))</f>
        <v>Brochas</v>
      </c>
      <c r="C649" s="65" t="str">
        <f>IFERROR(VLOOKUP("UD",'Informacion '!P:Q,2,FALSE),"")</f>
        <v>Unidad</v>
      </c>
      <c r="D649" s="64">
        <v>40</v>
      </c>
      <c r="E649" s="55">
        <v>45</v>
      </c>
      <c r="F649" s="54">
        <f t="shared" ca="1" si="12"/>
        <v>1800</v>
      </c>
    </row>
    <row r="650" spans="1:9" ht="14.1" customHeight="1" x14ac:dyDescent="0.25">
      <c r="A650" s="64" t="s">
        <v>30</v>
      </c>
      <c r="B650" s="53" t="str">
        <f ca="1">IFERROR(INDEX(UNSPSCDes,MATCH(INDIRECT(ADDRESS(ROW(),COLUMN()-1,4)),UNSPSCCode,0)),IF(INDIRECT(ADDRESS(ROW(),COLUMN()-1,4))="60121234","Espátulas para aplicación de pintura",""))</f>
        <v>Espátulas para aplicación de pintura</v>
      </c>
      <c r="C650" s="65" t="str">
        <f>IFERROR(VLOOKUP("UD",'Informacion '!P:Q,2,FALSE),"")</f>
        <v>Unidad</v>
      </c>
      <c r="D650" s="64">
        <v>20</v>
      </c>
      <c r="E650" s="55">
        <v>80</v>
      </c>
      <c r="F650" s="54">
        <f t="shared" ca="1" si="12"/>
        <v>1600</v>
      </c>
    </row>
    <row r="651" spans="1:9" ht="14.1" customHeight="1" x14ac:dyDescent="0.25">
      <c r="A651" s="64" t="s">
        <v>844</v>
      </c>
      <c r="B651" s="53" t="str">
        <f ca="1">IFERROR(INDEX(UNSPSCDes,MATCH(INDIRECT(ADDRESS(ROW(),COLUMN()-1,4)),UNSPSCCode,0)),IF(INDIRECT(ADDRESS(ROW(),COLUMN()-1,4))="30151604","Brochas para techos",""))</f>
        <v>Brochas para techos</v>
      </c>
      <c r="C651" s="65" t="str">
        <f>IFERROR(VLOOKUP("UD",'Informacion '!P:Q,2,FALSE),"")</f>
        <v>Unidad</v>
      </c>
      <c r="D651" s="64">
        <v>40</v>
      </c>
      <c r="E651" s="55">
        <v>70</v>
      </c>
      <c r="F651" s="54">
        <f t="shared" ca="1" si="12"/>
        <v>2800</v>
      </c>
    </row>
    <row r="652" spans="1:9" ht="14.1" customHeight="1" x14ac:dyDescent="0.25">
      <c r="A652" s="64" t="s">
        <v>788</v>
      </c>
      <c r="B652" s="53" t="str">
        <f ca="1">IFERROR(INDEX(UNSPSCDes,MATCH(INDIRECT(ADDRESS(ROW(),COLUMN()-1,4)),UNSPSCCode,0)),IF(INDIRECT(ADDRESS(ROW(),COLUMN()-1,4))="31211801","Removedores de pintura o barniz",""))</f>
        <v>Removedores de pintura o barniz</v>
      </c>
      <c r="C652" s="65" t="str">
        <f>IFERROR(VLOOKUP("GAL",'Informacion '!P:Q,2,FALSE),"")</f>
        <v>Galón</v>
      </c>
      <c r="D652" s="64">
        <v>40</v>
      </c>
      <c r="E652" s="55">
        <v>400</v>
      </c>
      <c r="F652" s="54">
        <f t="shared" ca="1" si="12"/>
        <v>16000</v>
      </c>
    </row>
    <row r="653" spans="1:9" ht="14.1" customHeight="1" x14ac:dyDescent="0.25">
      <c r="A653" s="64" t="s">
        <v>149</v>
      </c>
      <c r="B653" s="53" t="str">
        <f ca="1">IFERROR(INDEX(UNSPSCDes,MATCH(INDIRECT(ADDRESS(ROW(),COLUMN()-1,4)),UNSPSCCode,0)),IF(INDIRECT(ADDRESS(ROW(),COLUMN()-1,4))="31211604","Diluyentes para pinturas",""))</f>
        <v>Diluyentes para pinturas</v>
      </c>
      <c r="C653" s="65" t="str">
        <f>IFERROR(VLOOKUP("GAL",'Informacion '!P:Q,2,FALSE),"")</f>
        <v>Galón</v>
      </c>
      <c r="D653" s="64">
        <v>25</v>
      </c>
      <c r="E653" s="55">
        <v>900</v>
      </c>
      <c r="F653" s="54">
        <f t="shared" ca="1" si="12"/>
        <v>22500</v>
      </c>
    </row>
    <row r="654" spans="1:9" ht="14.1" customHeight="1" x14ac:dyDescent="0.25">
      <c r="E654" s="66" t="s">
        <v>581</v>
      </c>
      <c r="F654" s="58">
        <f ca="1">SUM(Table29[MONTO TOTAL ESTIMADO])</f>
        <v>939200</v>
      </c>
      <c r="G654" s="26" t="str">
        <f>C621</f>
        <v>Bienes</v>
      </c>
      <c r="H654" s="26" t="str">
        <f>E621</f>
        <v>No</v>
      </c>
      <c r="I654" s="26" t="str">
        <f>D621</f>
        <v>Compras Menores</v>
      </c>
    </row>
    <row r="656" spans="1:9" ht="33.950000000000003" customHeight="1" x14ac:dyDescent="0.25">
      <c r="A656" s="48" t="s">
        <v>745</v>
      </c>
      <c r="B656" s="48" t="s">
        <v>7</v>
      </c>
      <c r="C656" s="48" t="s">
        <v>533</v>
      </c>
      <c r="D656" s="48" t="s">
        <v>668</v>
      </c>
      <c r="E656" s="48" t="s">
        <v>495</v>
      </c>
      <c r="F656" s="48" t="s">
        <v>506</v>
      </c>
    </row>
    <row r="657" spans="1:9" ht="14.1" customHeight="1" x14ac:dyDescent="0.25">
      <c r="A657" s="50" t="s">
        <v>327</v>
      </c>
      <c r="B657" s="50" t="s">
        <v>299</v>
      </c>
      <c r="C657" s="50" t="s">
        <v>809</v>
      </c>
      <c r="D657" s="50" t="s">
        <v>458</v>
      </c>
      <c r="E657" s="50" t="s">
        <v>810</v>
      </c>
      <c r="F657" s="50"/>
    </row>
    <row r="658" spans="1:9" ht="14.1" customHeight="1" x14ac:dyDescent="0.25">
      <c r="A658" s="67" t="s">
        <v>688</v>
      </c>
      <c r="B658" s="51" t="s">
        <v>372</v>
      </c>
      <c r="C658" s="60">
        <v>44032</v>
      </c>
      <c r="D658" s="67" t="s">
        <v>418</v>
      </c>
      <c r="E658" s="62" t="s">
        <v>613</v>
      </c>
      <c r="F658" s="63" t="s">
        <v>122</v>
      </c>
    </row>
    <row r="659" spans="1:9" ht="14.1" customHeight="1" x14ac:dyDescent="0.25">
      <c r="A659" s="68"/>
      <c r="B659" s="51" t="s">
        <v>72</v>
      </c>
      <c r="C659" s="61">
        <f>IF(C658="","",IF(AND(MONTH(C658)&gt;=1,MONTH(C658)&lt;=3),1,IF(AND(MONTH(C658)&gt;=4,MONTH(C658)&lt;=6),2,IF(AND(MONTH(C658)&gt;=7,MONTH(C658)&lt;=9),3,4))))</f>
        <v>3</v>
      </c>
      <c r="D659" s="68"/>
      <c r="E659" s="62" t="s">
        <v>91</v>
      </c>
      <c r="F659" s="63" t="s">
        <v>670</v>
      </c>
    </row>
    <row r="660" spans="1:9" ht="14.1" customHeight="1" x14ac:dyDescent="0.25">
      <c r="A660" s="68"/>
      <c r="B660" s="51" t="s">
        <v>602</v>
      </c>
      <c r="C660" s="60">
        <v>44034</v>
      </c>
      <c r="D660" s="68"/>
      <c r="E660" s="62" t="s">
        <v>121</v>
      </c>
      <c r="F660" s="63" t="s">
        <v>195</v>
      </c>
    </row>
    <row r="661" spans="1:9" ht="14.1" customHeight="1" x14ac:dyDescent="0.25">
      <c r="A661" s="68"/>
      <c r="B661" s="51" t="s">
        <v>72</v>
      </c>
      <c r="C661" s="61">
        <f>IF(C660="","",IF(AND(MONTH(C660)&gt;=1,MONTH(C660)&lt;=3),1,IF(AND(MONTH(C660)&gt;=4,MONTH(C660)&lt;=6),2,IF(AND(MONTH(C660)&gt;=7,MONTH(C660)&lt;=9),3,4))))</f>
        <v>3</v>
      </c>
      <c r="D661" s="68"/>
      <c r="E661" s="62" t="s">
        <v>618</v>
      </c>
      <c r="F661" s="63"/>
    </row>
    <row r="663" spans="1:9" ht="14.1" customHeight="1" x14ac:dyDescent="0.25">
      <c r="A663" s="56" t="s">
        <v>724</v>
      </c>
      <c r="B663" s="56" t="s">
        <v>736</v>
      </c>
      <c r="C663" s="56" t="s">
        <v>718</v>
      </c>
      <c r="D663" s="56" t="s">
        <v>701</v>
      </c>
      <c r="E663" s="56" t="s">
        <v>308</v>
      </c>
      <c r="F663" s="56" t="s">
        <v>703</v>
      </c>
    </row>
    <row r="664" spans="1:9" ht="14.1" customHeight="1" x14ac:dyDescent="0.25">
      <c r="A664" s="64" t="s">
        <v>274</v>
      </c>
      <c r="B664" s="53" t="str">
        <f ca="1">IFERROR(INDEX(UNSPSCDes,MATCH(INDIRECT(ADDRESS(ROW(),COLUMN()-1,4)),UNSPSCCode,0)),IF(INDIRECT(ADDRESS(ROW(),COLUMN()-1,4))="25172502","Neumático para llantas de automóviles",""))</f>
        <v>Neumático para llantas de automóviles</v>
      </c>
      <c r="C664" s="65" t="str">
        <f>IFERROR(VLOOKUP("UD",'Informacion '!P:Q,2,FALSE),"")</f>
        <v>Unidad</v>
      </c>
      <c r="D664" s="64">
        <v>8</v>
      </c>
      <c r="E664" s="55">
        <v>9000</v>
      </c>
      <c r="F664" s="54">
        <f ca="1">INDIRECT(ADDRESS(ROW(),COLUMN()-2,4))*INDIRECT(ADDRESS(ROW(),COLUMN()-1,4))</f>
        <v>72000</v>
      </c>
    </row>
    <row r="665" spans="1:9" ht="14.1" customHeight="1" x14ac:dyDescent="0.25">
      <c r="E665" s="66" t="s">
        <v>581</v>
      </c>
      <c r="F665" s="58">
        <f ca="1">SUM(Table30[MONTO TOTAL ESTIMADO])</f>
        <v>72000</v>
      </c>
      <c r="G665" s="26" t="str">
        <f>C657</f>
        <v>Bienes</v>
      </c>
      <c r="H665" s="26" t="str">
        <f>E657</f>
        <v>No</v>
      </c>
      <c r="I665" s="26" t="str">
        <f>D657</f>
        <v>Compras por debajo del Umbral</v>
      </c>
    </row>
    <row r="667" spans="1:9" ht="33.950000000000003" customHeight="1" x14ac:dyDescent="0.25">
      <c r="A667" s="48" t="s">
        <v>745</v>
      </c>
      <c r="B667" s="48" t="s">
        <v>7</v>
      </c>
      <c r="C667" s="48" t="s">
        <v>533</v>
      </c>
      <c r="D667" s="48" t="s">
        <v>668</v>
      </c>
      <c r="E667" s="48" t="s">
        <v>495</v>
      </c>
      <c r="F667" s="48" t="s">
        <v>506</v>
      </c>
    </row>
    <row r="668" spans="1:9" ht="14.1" customHeight="1" x14ac:dyDescent="0.25">
      <c r="A668" s="50" t="s">
        <v>623</v>
      </c>
      <c r="B668" s="50" t="s">
        <v>334</v>
      </c>
      <c r="C668" s="50" t="s">
        <v>809</v>
      </c>
      <c r="D668" s="50" t="s">
        <v>792</v>
      </c>
      <c r="E668" s="50" t="s">
        <v>810</v>
      </c>
      <c r="F668" s="50"/>
    </row>
    <row r="669" spans="1:9" ht="14.1" customHeight="1" x14ac:dyDescent="0.25">
      <c r="A669" s="67" t="s">
        <v>688</v>
      </c>
      <c r="B669" s="51" t="s">
        <v>372</v>
      </c>
      <c r="C669" s="60">
        <v>44088</v>
      </c>
      <c r="D669" s="67" t="s">
        <v>418</v>
      </c>
      <c r="E669" s="62" t="s">
        <v>613</v>
      </c>
      <c r="F669" s="63" t="s">
        <v>122</v>
      </c>
    </row>
    <row r="670" spans="1:9" ht="14.1" customHeight="1" x14ac:dyDescent="0.25">
      <c r="A670" s="68"/>
      <c r="B670" s="51" t="s">
        <v>72</v>
      </c>
      <c r="C670" s="61">
        <f>IF(C669="","",IF(AND(MONTH(C669)&gt;=1,MONTH(C669)&lt;=3),1,IF(AND(MONTH(C669)&gt;=4,MONTH(C669)&lt;=6),2,IF(AND(MONTH(C669)&gt;=7,MONTH(C669)&lt;=9),3,4))))</f>
        <v>3</v>
      </c>
      <c r="D670" s="68"/>
      <c r="E670" s="62" t="s">
        <v>91</v>
      </c>
      <c r="F670" s="63" t="s">
        <v>670</v>
      </c>
    </row>
    <row r="671" spans="1:9" ht="14.1" customHeight="1" x14ac:dyDescent="0.25">
      <c r="A671" s="68"/>
      <c r="B671" s="51" t="s">
        <v>602</v>
      </c>
      <c r="C671" s="60">
        <v>44091</v>
      </c>
      <c r="D671" s="68"/>
      <c r="E671" s="62" t="s">
        <v>121</v>
      </c>
      <c r="F671" s="63" t="s">
        <v>195</v>
      </c>
    </row>
    <row r="672" spans="1:9" ht="14.1" customHeight="1" x14ac:dyDescent="0.25">
      <c r="A672" s="68"/>
      <c r="B672" s="51" t="s">
        <v>72</v>
      </c>
      <c r="C672" s="61">
        <f>IF(C671="","",IF(AND(MONTH(C671)&gt;=1,MONTH(C671)&lt;=3),1,IF(AND(MONTH(C671)&gt;=4,MONTH(C671)&lt;=6),2,IF(AND(MONTH(C671)&gt;=7,MONTH(C671)&lt;=9),3,4))))</f>
        <v>3</v>
      </c>
      <c r="D672" s="68"/>
      <c r="E672" s="62" t="s">
        <v>618</v>
      </c>
      <c r="F672" s="63"/>
    </row>
    <row r="674" spans="1:9" ht="14.1" customHeight="1" x14ac:dyDescent="0.25">
      <c r="A674" s="56" t="s">
        <v>724</v>
      </c>
      <c r="B674" s="56" t="s">
        <v>736</v>
      </c>
      <c r="C674" s="56" t="s">
        <v>718</v>
      </c>
      <c r="D674" s="56" t="s">
        <v>701</v>
      </c>
      <c r="E674" s="56" t="s">
        <v>308</v>
      </c>
      <c r="F674" s="56" t="s">
        <v>703</v>
      </c>
    </row>
    <row r="675" spans="1:9" ht="14.1" customHeight="1" x14ac:dyDescent="0.25">
      <c r="A675" s="64" t="s">
        <v>328</v>
      </c>
      <c r="B675" s="53" t="str">
        <f ca="1">IFERROR(INDEX(UNSPSCDes,MATCH(INDIRECT(ADDRESS(ROW(),COLUMN()-1,4)),UNSPSCCode,0)),IF(INDIRECT(ADDRESS(ROW(),COLUMN()-1,4))="14111801","Boletas o rollos de boletería",""))</f>
        <v>Boletas o rollos de boletería</v>
      </c>
      <c r="C675" s="65" t="str">
        <f>IFERROR(VLOOKUP("UD",'Informacion '!P:Q,2,FALSE),"")</f>
        <v>Unidad</v>
      </c>
      <c r="D675" s="64">
        <v>100000</v>
      </c>
      <c r="E675" s="55">
        <v>0.3</v>
      </c>
      <c r="F675" s="54">
        <f t="shared" ref="F675:F682" ca="1" si="13">INDIRECT(ADDRESS(ROW(),COLUMN()-2,4))*INDIRECT(ADDRESS(ROW(),COLUMN()-1,4))</f>
        <v>30000</v>
      </c>
    </row>
    <row r="676" spans="1:9" ht="14.1" customHeight="1" x14ac:dyDescent="0.25">
      <c r="A676" s="64" t="s">
        <v>328</v>
      </c>
      <c r="B676" s="53" t="str">
        <f ca="1">IFERROR(INDEX(UNSPSCDes,MATCH(INDIRECT(ADDRESS(ROW(),COLUMN()-1,4)),UNSPSCCode,0)),IF(INDIRECT(ADDRESS(ROW(),COLUMN()-1,4))="14111801","Boletas o rollos de boletería",""))</f>
        <v>Boletas o rollos de boletería</v>
      </c>
      <c r="C676" s="65" t="str">
        <f>IFERROR(VLOOKUP("UD",'Informacion '!P:Q,2,FALSE),"")</f>
        <v>Unidad</v>
      </c>
      <c r="D676" s="64">
        <v>100000</v>
      </c>
      <c r="E676" s="55">
        <v>0.3</v>
      </c>
      <c r="F676" s="54">
        <f t="shared" ca="1" si="13"/>
        <v>30000</v>
      </c>
    </row>
    <row r="677" spans="1:9" ht="14.1" customHeight="1" x14ac:dyDescent="0.25">
      <c r="A677" s="64" t="s">
        <v>328</v>
      </c>
      <c r="B677" s="53" t="str">
        <f ca="1">IFERROR(INDEX(UNSPSCDes,MATCH(INDIRECT(ADDRESS(ROW(),COLUMN()-1,4)),UNSPSCCode,0)),IF(INDIRECT(ADDRESS(ROW(),COLUMN()-1,4))="14111801","Boletas o rollos de boletería",""))</f>
        <v>Boletas o rollos de boletería</v>
      </c>
      <c r="C677" s="65" t="str">
        <f>IFERROR(VLOOKUP("UD",'Informacion '!P:Q,2,FALSE),"")</f>
        <v>Unidad</v>
      </c>
      <c r="D677" s="64">
        <v>100000</v>
      </c>
      <c r="E677" s="55">
        <v>0.3</v>
      </c>
      <c r="F677" s="54">
        <f t="shared" ca="1" si="13"/>
        <v>30000</v>
      </c>
    </row>
    <row r="678" spans="1:9" ht="14.1" customHeight="1" x14ac:dyDescent="0.25">
      <c r="A678" s="64" t="s">
        <v>110</v>
      </c>
      <c r="B678" s="53" t="str">
        <f ca="1">IFERROR(INDEX(UNSPSCDes,MATCH(INDIRECT(ADDRESS(ROW(),COLUMN()-1,4)),UNSPSCCode,0)),IF(INDIRECT(ADDRESS(ROW(),COLUMN()-1,4))="14111806","Formularios o cuestionarios de negocios",""))</f>
        <v>Formularios o cuestionarios de negocios</v>
      </c>
      <c r="C678" s="65" t="str">
        <f>IFERROR(VLOOKUP("UD",'Informacion '!P:Q,2,FALSE),"")</f>
        <v>Unidad</v>
      </c>
      <c r="D678" s="64">
        <v>50000</v>
      </c>
      <c r="E678" s="55">
        <v>0.2</v>
      </c>
      <c r="F678" s="54">
        <f t="shared" ca="1" si="13"/>
        <v>10000</v>
      </c>
    </row>
    <row r="679" spans="1:9" ht="14.1" customHeight="1" x14ac:dyDescent="0.25">
      <c r="A679" s="64" t="s">
        <v>328</v>
      </c>
      <c r="B679" s="53" t="str">
        <f ca="1">IFERROR(INDEX(UNSPSCDes,MATCH(INDIRECT(ADDRESS(ROW(),COLUMN()-1,4)),UNSPSCCode,0)),IF(INDIRECT(ADDRESS(ROW(),COLUMN()-1,4))="14111801","Boletas o rollos de boletería",""))</f>
        <v>Boletas o rollos de boletería</v>
      </c>
      <c r="C679" s="65" t="str">
        <f>IFERROR(VLOOKUP("UD",'Informacion '!P:Q,2,FALSE),"")</f>
        <v>Unidad</v>
      </c>
      <c r="D679" s="64">
        <v>100000</v>
      </c>
      <c r="E679" s="55">
        <v>0.3</v>
      </c>
      <c r="F679" s="54">
        <f t="shared" ca="1" si="13"/>
        <v>30000</v>
      </c>
    </row>
    <row r="680" spans="1:9" ht="14.1" customHeight="1" x14ac:dyDescent="0.25">
      <c r="A680" s="64" t="s">
        <v>829</v>
      </c>
      <c r="B680" s="53" t="str">
        <f ca="1">IFERROR(INDEX(UNSPSCDes,MATCH(INDIRECT(ADDRESS(ROW(),COLUMN()-1,4)),UNSPSCCode,0)),IF(INDIRECT(ADDRESS(ROW(),COLUMN()-1,4))="55101520","Hojas o folletos de instrucciones",""))</f>
        <v>Hojas o folletos de instrucciones</v>
      </c>
      <c r="C680" s="65" t="str">
        <f>IFERROR(VLOOKUP("UD",'Informacion '!P:Q,2,FALSE),"")</f>
        <v>Unidad</v>
      </c>
      <c r="D680" s="64">
        <v>50</v>
      </c>
      <c r="E680" s="55">
        <v>20</v>
      </c>
      <c r="F680" s="54">
        <f t="shared" ca="1" si="13"/>
        <v>1000</v>
      </c>
    </row>
    <row r="681" spans="1:9" ht="14.1" customHeight="1" x14ac:dyDescent="0.25">
      <c r="A681" s="64" t="s">
        <v>110</v>
      </c>
      <c r="B681" s="53" t="str">
        <f ca="1">IFERROR(INDEX(UNSPSCDes,MATCH(INDIRECT(ADDRESS(ROW(),COLUMN()-1,4)),UNSPSCCode,0)),IF(INDIRECT(ADDRESS(ROW(),COLUMN()-1,4))="14111806","Formularios o cuestionarios de negocios",""))</f>
        <v>Formularios o cuestionarios de negocios</v>
      </c>
      <c r="C681" s="65" t="str">
        <f>IFERROR(VLOOKUP("UD",'Informacion '!P:Q,2,FALSE),"")</f>
        <v>Unidad</v>
      </c>
      <c r="D681" s="64">
        <v>3000</v>
      </c>
      <c r="E681" s="55">
        <v>3</v>
      </c>
      <c r="F681" s="54">
        <f t="shared" ca="1" si="13"/>
        <v>9000</v>
      </c>
    </row>
    <row r="682" spans="1:9" ht="14.1" customHeight="1" x14ac:dyDescent="0.25">
      <c r="A682" s="64" t="s">
        <v>731</v>
      </c>
      <c r="B682" s="53" t="str">
        <f ca="1">IFERROR(INDEX(UNSPSCDes,MATCH(INDIRECT(ADDRESS(ROW(),COLUMN()-1,4)),UNSPSCCode,0)),IF(INDIRECT(ADDRESS(ROW(),COLUMN()-1,4))="55101519","Publicaciones periódicas",""))</f>
        <v>Publicaciones periódicas</v>
      </c>
      <c r="C682" s="65" t="str">
        <f>IFERROR(VLOOKUP("UD",'Informacion '!P:Q,2,FALSE),"")</f>
        <v>Unidad</v>
      </c>
      <c r="D682" s="64">
        <v>500</v>
      </c>
      <c r="E682" s="55">
        <v>20</v>
      </c>
      <c r="F682" s="54">
        <f t="shared" ca="1" si="13"/>
        <v>10000</v>
      </c>
    </row>
    <row r="683" spans="1:9" ht="14.1" customHeight="1" x14ac:dyDescent="0.25">
      <c r="E683" s="66" t="s">
        <v>581</v>
      </c>
      <c r="F683" s="58">
        <f ca="1">SUM(Table31[MONTO TOTAL ESTIMADO])</f>
        <v>150000</v>
      </c>
      <c r="G683" s="26" t="str">
        <f>C668</f>
        <v>Bienes</v>
      </c>
      <c r="H683" s="26" t="str">
        <f>E668</f>
        <v>No</v>
      </c>
      <c r="I683" s="26" t="str">
        <f>D668</f>
        <v>Compras Menores</v>
      </c>
    </row>
    <row r="685" spans="1:9" ht="33.950000000000003" customHeight="1" x14ac:dyDescent="0.25">
      <c r="A685" s="48" t="s">
        <v>745</v>
      </c>
      <c r="B685" s="48" t="s">
        <v>7</v>
      </c>
      <c r="C685" s="48" t="s">
        <v>533</v>
      </c>
      <c r="D685" s="48" t="s">
        <v>668</v>
      </c>
      <c r="E685" s="48" t="s">
        <v>495</v>
      </c>
      <c r="F685" s="48" t="s">
        <v>506</v>
      </c>
    </row>
    <row r="686" spans="1:9" ht="14.1" customHeight="1" x14ac:dyDescent="0.25">
      <c r="A686" s="50" t="s">
        <v>711</v>
      </c>
      <c r="B686" s="50" t="s">
        <v>60</v>
      </c>
      <c r="C686" s="50" t="s">
        <v>809</v>
      </c>
      <c r="D686" s="50" t="s">
        <v>792</v>
      </c>
      <c r="E686" s="50" t="s">
        <v>810</v>
      </c>
      <c r="F686" s="50" t="s">
        <v>296</v>
      </c>
    </row>
    <row r="687" spans="1:9" ht="14.1" customHeight="1" x14ac:dyDescent="0.25">
      <c r="A687" s="67" t="s">
        <v>688</v>
      </c>
      <c r="B687" s="51" t="s">
        <v>372</v>
      </c>
      <c r="C687" s="60">
        <v>43984</v>
      </c>
      <c r="D687" s="67" t="s">
        <v>418</v>
      </c>
      <c r="E687" s="62" t="s">
        <v>613</v>
      </c>
      <c r="F687" s="63" t="s">
        <v>122</v>
      </c>
    </row>
    <row r="688" spans="1:9" ht="14.1" customHeight="1" x14ac:dyDescent="0.25">
      <c r="A688" s="68"/>
      <c r="B688" s="51" t="s">
        <v>72</v>
      </c>
      <c r="C688" s="61">
        <f>IF(C687="","",IF(AND(MONTH(C687)&gt;=1,MONTH(C687)&lt;=3),1,IF(AND(MONTH(C687)&gt;=4,MONTH(C687)&lt;=6),2,IF(AND(MONTH(C687)&gt;=7,MONTH(C687)&lt;=9),3,4))))</f>
        <v>2</v>
      </c>
      <c r="D688" s="68"/>
      <c r="E688" s="62" t="s">
        <v>91</v>
      </c>
      <c r="F688" s="63" t="s">
        <v>670</v>
      </c>
    </row>
    <row r="689" spans="1:9" ht="14.1" customHeight="1" x14ac:dyDescent="0.25">
      <c r="A689" s="68"/>
      <c r="B689" s="51" t="s">
        <v>602</v>
      </c>
      <c r="C689" s="60">
        <v>43990</v>
      </c>
      <c r="D689" s="68"/>
      <c r="E689" s="62" t="s">
        <v>121</v>
      </c>
      <c r="F689" s="63"/>
    </row>
    <row r="690" spans="1:9" ht="14.1" customHeight="1" x14ac:dyDescent="0.25">
      <c r="A690" s="68"/>
      <c r="B690" s="51" t="s">
        <v>72</v>
      </c>
      <c r="C690" s="61">
        <f>IF(C689="","",IF(AND(MONTH(C689)&gt;=1,MONTH(C689)&lt;=3),1,IF(AND(MONTH(C689)&gt;=4,MONTH(C689)&lt;=6),2,IF(AND(MONTH(C689)&gt;=7,MONTH(C689)&lt;=9),3,4))))</f>
        <v>2</v>
      </c>
      <c r="D690" s="68"/>
      <c r="E690" s="62" t="s">
        <v>618</v>
      </c>
      <c r="F690" s="63"/>
    </row>
    <row r="692" spans="1:9" ht="14.1" customHeight="1" x14ac:dyDescent="0.25">
      <c r="A692" s="56" t="s">
        <v>724</v>
      </c>
      <c r="B692" s="56" t="s">
        <v>736</v>
      </c>
      <c r="C692" s="56" t="s">
        <v>718</v>
      </c>
      <c r="D692" s="56" t="s">
        <v>701</v>
      </c>
      <c r="E692" s="56" t="s">
        <v>308</v>
      </c>
      <c r="F692" s="56" t="s">
        <v>703</v>
      </c>
    </row>
    <row r="693" spans="1:9" ht="14.1" customHeight="1" x14ac:dyDescent="0.25">
      <c r="A693" s="64" t="s">
        <v>629</v>
      </c>
      <c r="B693" s="53" t="str">
        <f ca="1">IFERROR(INDEX(UNSPSCDes,MATCH(INDIRECT(ADDRESS(ROW(),COLUMN()-1,4)),UNSPSCCode,0)),IF(INDIRECT(ADDRESS(ROW(),COLUMN()-1,4))="10101702","Trucha viva",""))</f>
        <v>Trucha viva</v>
      </c>
      <c r="C693" s="65" t="str">
        <f>IFERROR(VLOOKUP("UD",'Informacion '!P:Q,2,FALSE),"")</f>
        <v>Unidad</v>
      </c>
      <c r="D693" s="64">
        <v>400</v>
      </c>
      <c r="E693" s="55">
        <v>500</v>
      </c>
      <c r="F693" s="54">
        <f ca="1">INDIRECT(ADDRESS(ROW(),COLUMN()-2,4))*INDIRECT(ADDRESS(ROW(),COLUMN()-1,4))</f>
        <v>200000</v>
      </c>
    </row>
    <row r="694" spans="1:9" ht="14.1" customHeight="1" x14ac:dyDescent="0.25">
      <c r="A694" s="64" t="s">
        <v>575</v>
      </c>
      <c r="B694" s="53" t="str">
        <f ca="1">IFERROR(INDEX(UNSPSCDes,MATCH(INDIRECT(ADDRESS(ROW(),COLUMN()-1,4)),UNSPSCCode,0)),IF(INDIRECT(ADDRESS(ROW(),COLUMN()-1,4))="10101704","Carpa viva",""))</f>
        <v>Carpa viva</v>
      </c>
      <c r="C694" s="65" t="str">
        <f>IFERROR(VLOOKUP("UD",'Informacion '!P:Q,2,FALSE),"")</f>
        <v>Unidad</v>
      </c>
      <c r="D694" s="64">
        <v>400</v>
      </c>
      <c r="E694" s="55">
        <v>500</v>
      </c>
      <c r="F694" s="54">
        <f ca="1">INDIRECT(ADDRESS(ROW(),COLUMN()-2,4))*INDIRECT(ADDRESS(ROW(),COLUMN()-1,4))</f>
        <v>200000</v>
      </c>
    </row>
    <row r="695" spans="1:9" ht="14.1" customHeight="1" x14ac:dyDescent="0.25">
      <c r="A695" s="64" t="s">
        <v>479</v>
      </c>
      <c r="B695" s="53" t="str">
        <f ca="1">IFERROR(INDEX(UNSPSCDes,MATCH(INDIRECT(ADDRESS(ROW(),COLUMN()-1,4)),UNSPSCCode,0)),IF(INDIRECT(ADDRESS(ROW(),COLUMN()-1,4))="50121802","Plantas acuáticas frescas",""))</f>
        <v>Plantas acuáticas frescas</v>
      </c>
      <c r="C695" s="65" t="str">
        <f>IFERROR(VLOOKUP("UD",'Informacion '!P:Q,2,FALSE),"")</f>
        <v>Unidad</v>
      </c>
      <c r="D695" s="64">
        <v>200</v>
      </c>
      <c r="E695" s="55">
        <v>300</v>
      </c>
      <c r="F695" s="54">
        <f ca="1">INDIRECT(ADDRESS(ROW(),COLUMN()-2,4))*INDIRECT(ADDRESS(ROW(),COLUMN()-1,4))</f>
        <v>60000</v>
      </c>
    </row>
    <row r="696" spans="1:9" ht="14.1" customHeight="1" x14ac:dyDescent="0.25">
      <c r="A696" s="64" t="s">
        <v>388</v>
      </c>
      <c r="B696" s="53" t="str">
        <f ca="1">IFERROR(INDEX(UNSPSCDes,MATCH(INDIRECT(ADDRESS(ROW(),COLUMN()-1,4)),UNSPSCCode,0)),IF(INDIRECT(ADDRESS(ROW(),COLUMN()-1,4))="50121705","Invertebrados acuáticos frescos",""))</f>
        <v>Invertebrados acuáticos frescos</v>
      </c>
      <c r="C696" s="65" t="str">
        <f>IFERROR(VLOOKUP("UD",'Informacion '!P:Q,2,FALSE),"")</f>
        <v>Unidad</v>
      </c>
      <c r="D696" s="64">
        <v>400</v>
      </c>
      <c r="E696" s="55">
        <v>600</v>
      </c>
      <c r="F696" s="54">
        <f ca="1">INDIRECT(ADDRESS(ROW(),COLUMN()-2,4))*INDIRECT(ADDRESS(ROW(),COLUMN()-1,4))</f>
        <v>240000</v>
      </c>
    </row>
    <row r="697" spans="1:9" ht="14.1" customHeight="1" x14ac:dyDescent="0.25">
      <c r="E697" s="66" t="s">
        <v>581</v>
      </c>
      <c r="F697" s="58">
        <f ca="1">SUM(Table32[MONTO TOTAL ESTIMADO])</f>
        <v>700000</v>
      </c>
      <c r="G697" s="26" t="str">
        <f>C686</f>
        <v>Bienes</v>
      </c>
      <c r="H697" s="26" t="str">
        <f>E686</f>
        <v>No</v>
      </c>
      <c r="I697" s="26" t="str">
        <f>D686</f>
        <v>Compras Menores</v>
      </c>
    </row>
    <row r="699" spans="1:9" ht="33.950000000000003" customHeight="1" x14ac:dyDescent="0.25">
      <c r="A699" s="48" t="s">
        <v>745</v>
      </c>
      <c r="B699" s="48" t="s">
        <v>7</v>
      </c>
      <c r="C699" s="48" t="s">
        <v>533</v>
      </c>
      <c r="D699" s="48" t="s">
        <v>668</v>
      </c>
      <c r="E699" s="48" t="s">
        <v>495</v>
      </c>
      <c r="F699" s="48" t="s">
        <v>506</v>
      </c>
    </row>
    <row r="700" spans="1:9" ht="14.1" customHeight="1" x14ac:dyDescent="0.25">
      <c r="A700" s="50" t="s">
        <v>399</v>
      </c>
      <c r="B700" s="50" t="s">
        <v>27</v>
      </c>
      <c r="C700" s="50" t="s">
        <v>809</v>
      </c>
      <c r="D700" s="50" t="s">
        <v>792</v>
      </c>
      <c r="E700" s="50" t="s">
        <v>392</v>
      </c>
      <c r="F700" s="50"/>
    </row>
    <row r="701" spans="1:9" ht="14.1" customHeight="1" x14ac:dyDescent="0.25">
      <c r="A701" s="67" t="s">
        <v>688</v>
      </c>
      <c r="B701" s="51" t="s">
        <v>372</v>
      </c>
      <c r="C701" s="60">
        <v>43936</v>
      </c>
      <c r="D701" s="67" t="s">
        <v>418</v>
      </c>
      <c r="E701" s="62" t="s">
        <v>613</v>
      </c>
      <c r="F701" s="63" t="s">
        <v>122</v>
      </c>
    </row>
    <row r="702" spans="1:9" ht="14.1" customHeight="1" x14ac:dyDescent="0.25">
      <c r="A702" s="68"/>
      <c r="B702" s="51" t="s">
        <v>72</v>
      </c>
      <c r="C702" s="61">
        <f>IF(C701="","",IF(AND(MONTH(C701)&gt;=1,MONTH(C701)&lt;=3),1,IF(AND(MONTH(C701)&gt;=4,MONTH(C701)&lt;=6),2,IF(AND(MONTH(C701)&gt;=7,MONTH(C701)&lt;=9),3,4))))</f>
        <v>2</v>
      </c>
      <c r="D702" s="68"/>
      <c r="E702" s="62" t="s">
        <v>91</v>
      </c>
      <c r="F702" s="63" t="s">
        <v>670</v>
      </c>
    </row>
    <row r="703" spans="1:9" ht="14.1" customHeight="1" x14ac:dyDescent="0.25">
      <c r="A703" s="68"/>
      <c r="B703" s="51" t="s">
        <v>602</v>
      </c>
      <c r="C703" s="60">
        <v>43942</v>
      </c>
      <c r="D703" s="68"/>
      <c r="E703" s="62" t="s">
        <v>121</v>
      </c>
      <c r="F703" s="63" t="s">
        <v>195</v>
      </c>
    </row>
    <row r="704" spans="1:9" ht="14.1" customHeight="1" x14ac:dyDescent="0.25">
      <c r="A704" s="68"/>
      <c r="B704" s="51" t="s">
        <v>72</v>
      </c>
      <c r="C704" s="61">
        <f>IF(C703="","",IF(AND(MONTH(C703)&gt;=1,MONTH(C703)&lt;=3),1,IF(AND(MONTH(C703)&gt;=4,MONTH(C703)&lt;=6),2,IF(AND(MONTH(C703)&gt;=7,MONTH(C703)&lt;=9),3,4))))</f>
        <v>2</v>
      </c>
      <c r="D704" s="68"/>
      <c r="E704" s="62" t="s">
        <v>618</v>
      </c>
      <c r="F704" s="63"/>
    </row>
    <row r="706" spans="1:6" ht="14.1" customHeight="1" x14ac:dyDescent="0.25">
      <c r="A706" s="56" t="s">
        <v>724</v>
      </c>
      <c r="B706" s="56" t="s">
        <v>736</v>
      </c>
      <c r="C706" s="56" t="s">
        <v>718</v>
      </c>
      <c r="D706" s="56" t="s">
        <v>701</v>
      </c>
      <c r="E706" s="56" t="s">
        <v>308</v>
      </c>
      <c r="F706" s="56" t="s">
        <v>703</v>
      </c>
    </row>
    <row r="707" spans="1:6" ht="14.1" customHeight="1" x14ac:dyDescent="0.25">
      <c r="A707" s="64" t="s">
        <v>66</v>
      </c>
      <c r="B707" s="53" t="str">
        <f ca="1">IFERROR(INDEX(UNSPSCDes,MATCH(INDIRECT(ADDRESS(ROW(),COLUMN()-1,4)),UNSPSCCode,0)),IF(INDIRECT(ADDRESS(ROW(),COLUMN()-1,4))="45111602","Lámparas de proyección",""))</f>
        <v>Lámparas de proyección</v>
      </c>
      <c r="C707" s="65" t="str">
        <f>IFERROR(VLOOKUP("UD",'Informacion '!P:Q,2,FALSE),"")</f>
        <v>Unidad</v>
      </c>
      <c r="D707" s="64">
        <v>2</v>
      </c>
      <c r="E707" s="55">
        <v>3300</v>
      </c>
      <c r="F707" s="54">
        <f t="shared" ref="F707:F721" ca="1" si="14">INDIRECT(ADDRESS(ROW(),COLUMN()-2,4))*INDIRECT(ADDRESS(ROW(),COLUMN()-1,4))</f>
        <v>6600</v>
      </c>
    </row>
    <row r="708" spans="1:6" ht="14.1" customHeight="1" x14ac:dyDescent="0.25">
      <c r="A708" s="64" t="s">
        <v>217</v>
      </c>
      <c r="B708" s="53" t="str">
        <f ca="1">IFERROR(INDEX(UNSPSCDes,MATCH(INDIRECT(ADDRESS(ROW(),COLUMN()-1,4)),UNSPSCCode,0)),IF(INDIRECT(ADDRESS(ROW(),COLUMN()-1,4))="39121011","Fuentes ininterrumpibles de potencia",""))</f>
        <v>Fuentes ininterrumpibles de potencia</v>
      </c>
      <c r="C708" s="65" t="str">
        <f>IFERROR(VLOOKUP("UD",'Informacion '!P:Q,2,FALSE),"")</f>
        <v>Unidad</v>
      </c>
      <c r="D708" s="64">
        <v>6</v>
      </c>
      <c r="E708" s="55">
        <v>800</v>
      </c>
      <c r="F708" s="54">
        <f t="shared" ca="1" si="14"/>
        <v>4800</v>
      </c>
    </row>
    <row r="709" spans="1:6" ht="14.1" customHeight="1" x14ac:dyDescent="0.25">
      <c r="A709" s="64" t="s">
        <v>84</v>
      </c>
      <c r="B709" s="53" t="str">
        <f ca="1">IFERROR(INDEX(UNSPSCDes,MATCH(INDIRECT(ADDRESS(ROW(),COLUMN()-1,4)),UNSPSCCode,0)),IF(INDIRECT(ADDRESS(ROW(),COLUMN()-1,4))="39121409","Conectores de cables eléctricos",""))</f>
        <v>Conectores de cables eléctricos</v>
      </c>
      <c r="C709" s="65" t="str">
        <f>IFERROR(VLOOKUP("UD",'Informacion '!P:Q,2,FALSE),"")</f>
        <v>Unidad</v>
      </c>
      <c r="D709" s="64">
        <v>100</v>
      </c>
      <c r="E709" s="55">
        <v>4</v>
      </c>
      <c r="F709" s="54">
        <f t="shared" ca="1" si="14"/>
        <v>400</v>
      </c>
    </row>
    <row r="710" spans="1:6" ht="14.1" customHeight="1" x14ac:dyDescent="0.25">
      <c r="A710" s="64" t="s">
        <v>594</v>
      </c>
      <c r="B710" s="53" t="str">
        <f ca="1">IFERROR(INDEX(UNSPSCDes,MATCH(INDIRECT(ADDRESS(ROW(),COLUMN()-1,4)),UNSPSCCode,0)),IF(INDIRECT(ADDRESS(ROW(),COLUMN()-1,4))="26121609","Cable de redes",""))</f>
        <v>Cable de redes</v>
      </c>
      <c r="C710" s="65" t="str">
        <f>IFERROR(VLOOKUP("CAJ",'Informacion '!P:Q,2,FALSE),"")</f>
        <v>Caja</v>
      </c>
      <c r="D710" s="64">
        <v>2</v>
      </c>
      <c r="E710" s="55">
        <v>3600</v>
      </c>
      <c r="F710" s="54">
        <f t="shared" ca="1" si="14"/>
        <v>7200</v>
      </c>
    </row>
    <row r="711" spans="1:6" ht="14.1" customHeight="1" x14ac:dyDescent="0.25">
      <c r="A711" s="64" t="s">
        <v>284</v>
      </c>
      <c r="B711" s="53" t="str">
        <f ca="1">IFERROR(INDEX(UNSPSCDes,MATCH(INDIRECT(ADDRESS(ROW(),COLUMN()-1,4)),UNSPSCCode,0)),IF(INDIRECT(ADDRESS(ROW(),COLUMN()-1,4))="43211708","Mouse o bola de seguimiento para computador",""))</f>
        <v>Mouse o bola de seguimiento para computador</v>
      </c>
      <c r="C711" s="65" t="str">
        <f>IFERROR(VLOOKUP("UD",'Informacion '!P:Q,2,FALSE),"")</f>
        <v>Unidad</v>
      </c>
      <c r="D711" s="64">
        <v>8</v>
      </c>
      <c r="E711" s="55">
        <v>150</v>
      </c>
      <c r="F711" s="54">
        <f t="shared" ca="1" si="14"/>
        <v>1200</v>
      </c>
    </row>
    <row r="712" spans="1:6" ht="14.1" customHeight="1" x14ac:dyDescent="0.25">
      <c r="A712" s="64" t="s">
        <v>241</v>
      </c>
      <c r="B712" s="53" t="str">
        <f ca="1">IFERROR(INDEX(UNSPSCDes,MATCH(INDIRECT(ADDRESS(ROW(),COLUMN()-1,4)),UNSPSCCode,0)),IF(INDIRECT(ADDRESS(ROW(),COLUMN()-1,4))="43202205","Teclas o teclados",""))</f>
        <v>Teclas o teclados</v>
      </c>
      <c r="C712" s="65" t="str">
        <f>IFERROR(VLOOKUP("UD",'Informacion '!P:Q,2,FALSE),"")</f>
        <v>Unidad</v>
      </c>
      <c r="D712" s="64">
        <v>8</v>
      </c>
      <c r="E712" s="55">
        <v>250</v>
      </c>
      <c r="F712" s="54">
        <f t="shared" ca="1" si="14"/>
        <v>2000</v>
      </c>
    </row>
    <row r="713" spans="1:6" ht="14.1" customHeight="1" x14ac:dyDescent="0.25">
      <c r="A713" s="64" t="s">
        <v>707</v>
      </c>
      <c r="B713" s="53" t="str">
        <f ca="1">IFERROR(INDEX(UNSPSCDes,MATCH(INDIRECT(ADDRESS(ROW(),COLUMN()-1,4)),UNSPSCCode,0)),IF(INDIRECT(ADDRESS(ROW(),COLUMN()-1,4))="43221516","Monitores de estado de líneas telefónicas",""))</f>
        <v>Monitores de estado de líneas telefónicas</v>
      </c>
      <c r="C713" s="65" t="str">
        <f>IFERROR(VLOOKUP("UD",'Informacion '!P:Q,2,FALSE),"")</f>
        <v>Unidad</v>
      </c>
      <c r="D713" s="64">
        <v>2</v>
      </c>
      <c r="E713" s="55">
        <v>5500</v>
      </c>
      <c r="F713" s="54">
        <f t="shared" ca="1" si="14"/>
        <v>11000</v>
      </c>
    </row>
    <row r="714" spans="1:6" ht="14.1" customHeight="1" x14ac:dyDescent="0.25">
      <c r="A714" s="64" t="s">
        <v>191</v>
      </c>
      <c r="B714" s="53" t="str">
        <f ca="1">IFERROR(INDEX(UNSPSCDes,MATCH(INDIRECT(ADDRESS(ROW(),COLUMN()-1,4)),UNSPSCCode,0)),IF(INDIRECT(ADDRESS(ROW(),COLUMN()-1,4))="43222612","Interruptores de red",""))</f>
        <v>Interruptores de red</v>
      </c>
      <c r="C714" s="65" t="str">
        <f>IFERROR(VLOOKUP("UD",'Informacion '!P:Q,2,FALSE),"")</f>
        <v>Unidad</v>
      </c>
      <c r="D714" s="64">
        <v>2</v>
      </c>
      <c r="E714" s="55">
        <v>12000</v>
      </c>
      <c r="F714" s="54">
        <f t="shared" ca="1" si="14"/>
        <v>24000</v>
      </c>
    </row>
    <row r="715" spans="1:6" ht="14.1" customHeight="1" x14ac:dyDescent="0.25">
      <c r="A715" s="64" t="s">
        <v>504</v>
      </c>
      <c r="B715" s="53" t="str">
        <f ca="1">IFERROR(INDEX(UNSPSCDes,MATCH(INDIRECT(ADDRESS(ROW(),COLUMN()-1,4)),UNSPSCCode,0)),IF(INDIRECT(ADDRESS(ROW(),COLUMN()-1,4))="43211507","Computadores de escritorio",""))</f>
        <v>Computadores de escritorio</v>
      </c>
      <c r="C715" s="65" t="str">
        <f>IFERROR(VLOOKUP("UD",'Informacion '!P:Q,2,FALSE),"")</f>
        <v>Unidad</v>
      </c>
      <c r="D715" s="64">
        <v>4</v>
      </c>
      <c r="E715" s="55">
        <v>29500</v>
      </c>
      <c r="F715" s="54">
        <f t="shared" ca="1" si="14"/>
        <v>118000</v>
      </c>
    </row>
    <row r="716" spans="1:6" ht="14.1" customHeight="1" x14ac:dyDescent="0.25">
      <c r="A716" s="64" t="s">
        <v>337</v>
      </c>
      <c r="B716" s="53" t="str">
        <f ca="1">IFERROR(INDEX(UNSPSCDes,MATCH(INDIRECT(ADDRESS(ROW(),COLUMN()-1,4)),UNSPSCCode,0)),IF(INDIRECT(ADDRESS(ROW(),COLUMN()-1,4))="32101601","Memoria de acceso aleatorio (ram)",""))</f>
        <v>Memoria de acceso aleatorio (ram)</v>
      </c>
      <c r="C716" s="65" t="str">
        <f>IFERROR(VLOOKUP("UD",'Informacion '!P:Q,2,FALSE),"")</f>
        <v>Unidad</v>
      </c>
      <c r="D716" s="64">
        <v>5</v>
      </c>
      <c r="E716" s="55">
        <v>2500</v>
      </c>
      <c r="F716" s="54">
        <f t="shared" ca="1" si="14"/>
        <v>12500</v>
      </c>
    </row>
    <row r="717" spans="1:6" ht="14.1" customHeight="1" x14ac:dyDescent="0.25">
      <c r="A717" s="64" t="s">
        <v>497</v>
      </c>
      <c r="B717" s="53" t="str">
        <f ca="1">IFERROR(INDEX(UNSPSCDes,MATCH(INDIRECT(ADDRESS(ROW(),COLUMN()-1,4)),UNSPSCCode,0)),IF(INDIRECT(ADDRESS(ROW(),COLUMN()-1,4))="43201803","Unidades de disco duro",""))</f>
        <v>Unidades de disco duro</v>
      </c>
      <c r="C717" s="65" t="str">
        <f>IFERROR(VLOOKUP("UD",'Informacion '!P:Q,2,FALSE),"")</f>
        <v>Unidad</v>
      </c>
      <c r="D717" s="64">
        <v>2</v>
      </c>
      <c r="E717" s="55">
        <v>2800</v>
      </c>
      <c r="F717" s="54">
        <f t="shared" ca="1" si="14"/>
        <v>5600</v>
      </c>
    </row>
    <row r="718" spans="1:6" ht="14.1" customHeight="1" x14ac:dyDescent="0.25">
      <c r="A718" s="64" t="s">
        <v>166</v>
      </c>
      <c r="B718" s="53" t="str">
        <f ca="1">IFERROR(INDEX(UNSPSCDes,MATCH(INDIRECT(ADDRESS(ROW(),COLUMN()-1,4)),UNSPSCCode,0)),IF(INDIRECT(ADDRESS(ROW(),COLUMN()-1,4))="43191606","Auriculares de teléfonos",""))</f>
        <v>Auriculares de teléfonos</v>
      </c>
      <c r="C718" s="65" t="str">
        <f>IFERROR(VLOOKUP("UD",'Informacion '!P:Q,2,FALSE),"")</f>
        <v>Unidad</v>
      </c>
      <c r="D718" s="64">
        <v>5</v>
      </c>
      <c r="E718" s="55">
        <v>500</v>
      </c>
      <c r="F718" s="54">
        <f t="shared" ca="1" si="14"/>
        <v>2500</v>
      </c>
    </row>
    <row r="719" spans="1:6" ht="14.1" customHeight="1" x14ac:dyDescent="0.25">
      <c r="A719" s="64" t="s">
        <v>132</v>
      </c>
      <c r="B719" s="53" t="str">
        <f ca="1">IFERROR(INDEX(UNSPSCDes,MATCH(INDIRECT(ADDRESS(ROW(),COLUMN()-1,4)),UNSPSCCode,0)),IF(INDIRECT(ADDRESS(ROW(),COLUMN()-1,4))="32101637","Procesadores de red",""))</f>
        <v>Procesadores de red</v>
      </c>
      <c r="C719" s="65" t="str">
        <f>IFERROR(VLOOKUP("UD",'Informacion '!P:Q,2,FALSE),"")</f>
        <v>Unidad</v>
      </c>
      <c r="D719" s="64">
        <v>3</v>
      </c>
      <c r="E719" s="55">
        <v>3900</v>
      </c>
      <c r="F719" s="54">
        <f t="shared" ca="1" si="14"/>
        <v>11700</v>
      </c>
    </row>
    <row r="720" spans="1:6" ht="14.1" customHeight="1" x14ac:dyDescent="0.25">
      <c r="A720" s="64" t="s">
        <v>594</v>
      </c>
      <c r="B720" s="53" t="str">
        <f ca="1">IFERROR(INDEX(UNSPSCDes,MATCH(INDIRECT(ADDRESS(ROW(),COLUMN()-1,4)),UNSPSCCode,0)),IF(INDIRECT(ADDRESS(ROW(),COLUMN()-1,4))="26121609","Cable de redes",""))</f>
        <v>Cable de redes</v>
      </c>
      <c r="C720" s="65" t="str">
        <f>IFERROR(VLOOKUP("UD",'Informacion '!P:Q,2,FALSE),"")</f>
        <v>Unidad</v>
      </c>
      <c r="D720" s="64">
        <v>50</v>
      </c>
      <c r="E720" s="55">
        <v>150</v>
      </c>
      <c r="F720" s="54">
        <f t="shared" ca="1" si="14"/>
        <v>7500</v>
      </c>
    </row>
    <row r="721" spans="1:9" ht="14.1" customHeight="1" x14ac:dyDescent="0.25">
      <c r="A721" s="64" t="s">
        <v>142</v>
      </c>
      <c r="B721" s="53" t="str">
        <f ca="1">IFERROR(INDEX(UNSPSCDes,MATCH(INDIRECT(ADDRESS(ROW(),COLUMN()-1,4)),UNSPSCCode,0)),IF(INDIRECT(ADDRESS(ROW(),COLUMN()-1,4))="43201403","Tarjetas de módem",""))</f>
        <v>Tarjetas de módem</v>
      </c>
      <c r="C721" s="65" t="str">
        <f>IFERROR(VLOOKUP("UD",'Informacion '!P:Q,2,FALSE),"")</f>
        <v>Unidad</v>
      </c>
      <c r="D721" s="64">
        <v>3</v>
      </c>
      <c r="E721" s="55">
        <v>5600</v>
      </c>
      <c r="F721" s="54">
        <f t="shared" ca="1" si="14"/>
        <v>16800</v>
      </c>
    </row>
    <row r="722" spans="1:9" ht="14.1" customHeight="1" x14ac:dyDescent="0.25">
      <c r="E722" s="66" t="s">
        <v>581</v>
      </c>
      <c r="F722" s="58">
        <f ca="1">SUM(Table33[MONTO TOTAL ESTIMADO])</f>
        <v>231800</v>
      </c>
      <c r="G722" s="26" t="str">
        <f>C700</f>
        <v>Bienes</v>
      </c>
      <c r="H722" s="26" t="str">
        <f>E700</f>
        <v>Sí</v>
      </c>
      <c r="I722" s="26" t="str">
        <f>D700</f>
        <v>Compras Menores</v>
      </c>
    </row>
    <row r="724" spans="1:9" ht="33.950000000000003" customHeight="1" x14ac:dyDescent="0.25">
      <c r="A724" s="48" t="s">
        <v>745</v>
      </c>
      <c r="B724" s="48" t="s">
        <v>7</v>
      </c>
      <c r="C724" s="48" t="s">
        <v>533</v>
      </c>
      <c r="D724" s="48" t="s">
        <v>668</v>
      </c>
      <c r="E724" s="48" t="s">
        <v>495</v>
      </c>
      <c r="F724" s="48" t="s">
        <v>506</v>
      </c>
    </row>
    <row r="725" spans="1:9" ht="14.1" customHeight="1" x14ac:dyDescent="0.25">
      <c r="A725" s="50" t="s">
        <v>154</v>
      </c>
      <c r="B725" s="50" t="s">
        <v>457</v>
      </c>
      <c r="C725" s="50" t="s">
        <v>809</v>
      </c>
      <c r="D725" s="50" t="s">
        <v>792</v>
      </c>
      <c r="E725" s="50" t="s">
        <v>810</v>
      </c>
      <c r="F725" s="50"/>
    </row>
    <row r="726" spans="1:9" ht="14.1" customHeight="1" x14ac:dyDescent="0.25">
      <c r="A726" s="67" t="s">
        <v>688</v>
      </c>
      <c r="B726" s="51" t="s">
        <v>372</v>
      </c>
      <c r="C726" s="60">
        <v>43991</v>
      </c>
      <c r="D726" s="67" t="s">
        <v>418</v>
      </c>
      <c r="E726" s="62" t="s">
        <v>613</v>
      </c>
      <c r="F726" s="63" t="s">
        <v>122</v>
      </c>
    </row>
    <row r="727" spans="1:9" ht="14.1" customHeight="1" x14ac:dyDescent="0.25">
      <c r="A727" s="68"/>
      <c r="B727" s="51" t="s">
        <v>72</v>
      </c>
      <c r="C727" s="61">
        <f>IF(C726="","",IF(AND(MONTH(C726)&gt;=1,MONTH(C726)&lt;=3),1,IF(AND(MONTH(C726)&gt;=4,MONTH(C726)&lt;=6),2,IF(AND(MONTH(C726)&gt;=7,MONTH(C726)&lt;=9),3,4))))</f>
        <v>2</v>
      </c>
      <c r="D727" s="68"/>
      <c r="E727" s="62" t="s">
        <v>91</v>
      </c>
      <c r="F727" s="63" t="s">
        <v>670</v>
      </c>
    </row>
    <row r="728" spans="1:9" ht="14.1" customHeight="1" x14ac:dyDescent="0.25">
      <c r="A728" s="68"/>
      <c r="B728" s="51" t="s">
        <v>602</v>
      </c>
      <c r="C728" s="60">
        <v>43997</v>
      </c>
      <c r="D728" s="68"/>
      <c r="E728" s="62" t="s">
        <v>121</v>
      </c>
      <c r="F728" s="63"/>
    </row>
    <row r="729" spans="1:9" ht="14.1" customHeight="1" x14ac:dyDescent="0.25">
      <c r="A729" s="68"/>
      <c r="B729" s="51" t="s">
        <v>72</v>
      </c>
      <c r="C729" s="61">
        <f>IF(C728="","",IF(AND(MONTH(C728)&gt;=1,MONTH(C728)&lt;=3),1,IF(AND(MONTH(C728)&gt;=4,MONTH(C728)&lt;=6),2,IF(AND(MONTH(C728)&gt;=7,MONTH(C728)&lt;=9),3,4))))</f>
        <v>2</v>
      </c>
      <c r="D729" s="68"/>
      <c r="E729" s="62" t="s">
        <v>618</v>
      </c>
      <c r="F729" s="63"/>
    </row>
    <row r="731" spans="1:9" ht="14.1" customHeight="1" x14ac:dyDescent="0.25">
      <c r="A731" s="56" t="s">
        <v>724</v>
      </c>
      <c r="B731" s="56" t="s">
        <v>736</v>
      </c>
      <c r="C731" s="56" t="s">
        <v>718</v>
      </c>
      <c r="D731" s="56" t="s">
        <v>701</v>
      </c>
      <c r="E731" s="56" t="s">
        <v>308</v>
      </c>
      <c r="F731" s="56" t="s">
        <v>703</v>
      </c>
    </row>
    <row r="732" spans="1:9" ht="14.1" customHeight="1" x14ac:dyDescent="0.25">
      <c r="A732" s="64" t="s">
        <v>742</v>
      </c>
      <c r="B732" s="53" t="str">
        <f ca="1">IFERROR(INDEX(UNSPSCDes,MATCH(INDIRECT(ADDRESS(ROW(),COLUMN()-1,4)),UNSPSCCode,0)),IF(INDIRECT(ADDRESS(ROW(),COLUMN()-1,4))="12163201","Aditivos de migración anti gas",""))</f>
        <v>Aditivos de migración anti gas</v>
      </c>
      <c r="C732" s="65" t="str">
        <f>IFERROR(VLOOKUP("UD",'Informacion '!P:Q,2,FALSE),"")</f>
        <v>Unidad</v>
      </c>
      <c r="D732" s="64">
        <v>48</v>
      </c>
      <c r="E732" s="55">
        <v>400</v>
      </c>
      <c r="F732" s="54">
        <f t="shared" ref="F732:F737" ca="1" si="15">INDIRECT(ADDRESS(ROW(),COLUMN()-2,4))*INDIRECT(ADDRESS(ROW(),COLUMN()-1,4))</f>
        <v>19200</v>
      </c>
    </row>
    <row r="733" spans="1:9" ht="14.1" customHeight="1" x14ac:dyDescent="0.25">
      <c r="A733" s="64" t="s">
        <v>742</v>
      </c>
      <c r="B733" s="53" t="str">
        <f ca="1">IFERROR(INDEX(UNSPSCDes,MATCH(INDIRECT(ADDRESS(ROW(),COLUMN()-1,4)),UNSPSCCode,0)),IF(INDIRECT(ADDRESS(ROW(),COLUMN()-1,4))="12163201","Aditivos de migración anti gas",""))</f>
        <v>Aditivos de migración anti gas</v>
      </c>
      <c r="C733" s="65" t="str">
        <f>IFERROR(VLOOKUP("UD",'Informacion '!P:Q,2,FALSE),"")</f>
        <v>Unidad</v>
      </c>
      <c r="D733" s="64">
        <v>48</v>
      </c>
      <c r="E733" s="55">
        <v>460</v>
      </c>
      <c r="F733" s="54">
        <f t="shared" ca="1" si="15"/>
        <v>22080</v>
      </c>
    </row>
    <row r="734" spans="1:9" ht="14.1" customHeight="1" x14ac:dyDescent="0.25">
      <c r="A734" s="64" t="s">
        <v>851</v>
      </c>
      <c r="B734" s="53" t="str">
        <f ca="1">IFERROR(INDEX(UNSPSCDes,MATCH(INDIRECT(ADDRESS(ROW(),COLUMN()-1,4)),UNSPSCCode,0)),IF(INDIRECT(ADDRESS(ROW(),COLUMN()-1,4))="15121503","Aceite de engranajes",""))</f>
        <v>Aceite de engranajes</v>
      </c>
      <c r="C734" s="65" t="str">
        <f>IFERROR(VLOOKUP("UD",'Informacion '!P:Q,2,FALSE),"")</f>
        <v>Unidad</v>
      </c>
      <c r="D734" s="64">
        <v>2</v>
      </c>
      <c r="E734" s="55">
        <v>18000</v>
      </c>
      <c r="F734" s="54">
        <f t="shared" ca="1" si="15"/>
        <v>36000</v>
      </c>
    </row>
    <row r="735" spans="1:9" ht="14.1" customHeight="1" x14ac:dyDescent="0.25">
      <c r="A735" s="64" t="s">
        <v>213</v>
      </c>
      <c r="B735" s="53" t="str">
        <f ca="1">IFERROR(INDEX(UNSPSCDes,MATCH(INDIRECT(ADDRESS(ROW(),COLUMN()-1,4)),UNSPSCCode,0)),IF(INDIRECT(ADDRESS(ROW(),COLUMN()-1,4))="15121501","Aceite motor",""))</f>
        <v>Aceite motor</v>
      </c>
      <c r="C735" s="65" t="str">
        <f>IFERROR(VLOOKUP("UD",'Informacion '!P:Q,2,FALSE),"")</f>
        <v>Unidad</v>
      </c>
      <c r="D735" s="64">
        <v>2</v>
      </c>
      <c r="E735" s="55">
        <v>34500</v>
      </c>
      <c r="F735" s="54">
        <f t="shared" ca="1" si="15"/>
        <v>69000</v>
      </c>
    </row>
    <row r="736" spans="1:9" ht="14.1" customHeight="1" x14ac:dyDescent="0.25">
      <c r="A736" s="64" t="s">
        <v>496</v>
      </c>
      <c r="B736" s="53" t="str">
        <f ca="1">IFERROR(INDEX(UNSPSCDes,MATCH(INDIRECT(ADDRESS(ROW(),COLUMN()-1,4)),UNSPSCCode,0)),IF(INDIRECT(ADDRESS(ROW(),COLUMN()-1,4))="40161505","Filtros de aire",""))</f>
        <v>Filtros de aire</v>
      </c>
      <c r="C736" s="65" t="str">
        <f>IFERROR(VLOOKUP("UD",'Informacion '!P:Q,2,FALSE),"")</f>
        <v>Unidad</v>
      </c>
      <c r="D736" s="64">
        <v>48</v>
      </c>
      <c r="E736" s="55">
        <v>600</v>
      </c>
      <c r="F736" s="54">
        <f t="shared" ca="1" si="15"/>
        <v>28800</v>
      </c>
    </row>
    <row r="737" spans="1:9" ht="14.1" customHeight="1" x14ac:dyDescent="0.25">
      <c r="A737" s="64" t="s">
        <v>459</v>
      </c>
      <c r="B737" s="53" t="str">
        <f ca="1">IFERROR(INDEX(UNSPSCDes,MATCH(INDIRECT(ADDRESS(ROW(),COLUMN()-1,4)),UNSPSCCode,0)),IF(INDIRECT(ADDRESS(ROW(),COLUMN()-1,4))="26101763","Tapones del anticongelante",""))</f>
        <v>Tapones del anticongelante</v>
      </c>
      <c r="C737" s="65" t="str">
        <f>IFERROR(VLOOKUP("UD",'Informacion '!P:Q,2,FALSE),"")</f>
        <v>Unidad</v>
      </c>
      <c r="D737" s="64">
        <v>2</v>
      </c>
      <c r="E737" s="55">
        <v>16600</v>
      </c>
      <c r="F737" s="54">
        <f t="shared" ca="1" si="15"/>
        <v>33200</v>
      </c>
    </row>
    <row r="738" spans="1:9" ht="14.1" customHeight="1" x14ac:dyDescent="0.25">
      <c r="E738" s="66" t="s">
        <v>581</v>
      </c>
      <c r="F738" s="58">
        <f ca="1">SUM(Table34[MONTO TOTAL ESTIMADO])</f>
        <v>208280</v>
      </c>
      <c r="G738" s="26" t="str">
        <f>C725</f>
        <v>Bienes</v>
      </c>
      <c r="H738" s="26" t="str">
        <f>E725</f>
        <v>No</v>
      </c>
      <c r="I738" s="26" t="str">
        <f>D725</f>
        <v>Compras Menores</v>
      </c>
    </row>
    <row r="740" spans="1:9" ht="33.950000000000003" customHeight="1" x14ac:dyDescent="0.25">
      <c r="A740" s="48" t="s">
        <v>745</v>
      </c>
      <c r="B740" s="48" t="s">
        <v>7</v>
      </c>
      <c r="C740" s="48" t="s">
        <v>533</v>
      </c>
      <c r="D740" s="48" t="s">
        <v>668</v>
      </c>
      <c r="E740" s="48" t="s">
        <v>495</v>
      </c>
      <c r="F740" s="48" t="s">
        <v>506</v>
      </c>
    </row>
    <row r="741" spans="1:9" ht="14.1" customHeight="1" x14ac:dyDescent="0.25">
      <c r="A741" s="50" t="s">
        <v>333</v>
      </c>
      <c r="B741" s="50" t="s">
        <v>275</v>
      </c>
      <c r="C741" s="50" t="s">
        <v>298</v>
      </c>
      <c r="D741" s="50" t="s">
        <v>74</v>
      </c>
      <c r="E741" s="50" t="s">
        <v>392</v>
      </c>
      <c r="F741" s="50"/>
    </row>
    <row r="742" spans="1:9" ht="14.1" customHeight="1" x14ac:dyDescent="0.25">
      <c r="A742" s="67" t="s">
        <v>688</v>
      </c>
      <c r="B742" s="51" t="s">
        <v>372</v>
      </c>
      <c r="C742" s="60">
        <v>43963</v>
      </c>
      <c r="D742" s="67" t="s">
        <v>418</v>
      </c>
      <c r="E742" s="62" t="s">
        <v>613</v>
      </c>
      <c r="F742" s="63" t="s">
        <v>122</v>
      </c>
    </row>
    <row r="743" spans="1:9" ht="14.1" customHeight="1" x14ac:dyDescent="0.25">
      <c r="A743" s="68"/>
      <c r="B743" s="51" t="s">
        <v>72</v>
      </c>
      <c r="C743" s="61">
        <f>IF(C742="","",IF(AND(MONTH(C742)&gt;=1,MONTH(C742)&lt;=3),1,IF(AND(MONTH(C742)&gt;=4,MONTH(C742)&lt;=6),2,IF(AND(MONTH(C742)&gt;=7,MONTH(C742)&lt;=9),3,4))))</f>
        <v>2</v>
      </c>
      <c r="D743" s="68"/>
      <c r="E743" s="62" t="s">
        <v>91</v>
      </c>
      <c r="F743" s="63" t="s">
        <v>670</v>
      </c>
    </row>
    <row r="744" spans="1:9" ht="14.1" customHeight="1" x14ac:dyDescent="0.25">
      <c r="A744" s="68"/>
      <c r="B744" s="51" t="s">
        <v>602</v>
      </c>
      <c r="C744" s="60">
        <v>43971</v>
      </c>
      <c r="D744" s="68"/>
      <c r="E744" s="62" t="s">
        <v>121</v>
      </c>
      <c r="F744" s="63"/>
    </row>
    <row r="745" spans="1:9" ht="14.1" customHeight="1" x14ac:dyDescent="0.25">
      <c r="A745" s="68"/>
      <c r="B745" s="51" t="s">
        <v>72</v>
      </c>
      <c r="C745" s="61">
        <f>IF(C744="","",IF(AND(MONTH(C744)&gt;=1,MONTH(C744)&lt;=3),1,IF(AND(MONTH(C744)&gt;=4,MONTH(C744)&lt;=6),2,IF(AND(MONTH(C744)&gt;=7,MONTH(C744)&lt;=9),3,4))))</f>
        <v>2</v>
      </c>
      <c r="D745" s="68"/>
      <c r="E745" s="62" t="s">
        <v>618</v>
      </c>
      <c r="F745" s="63"/>
    </row>
    <row r="747" spans="1:9" ht="14.1" customHeight="1" x14ac:dyDescent="0.25">
      <c r="A747" s="56" t="s">
        <v>724</v>
      </c>
      <c r="B747" s="56" t="s">
        <v>736</v>
      </c>
      <c r="C747" s="56" t="s">
        <v>718</v>
      </c>
      <c r="D747" s="56" t="s">
        <v>701</v>
      </c>
      <c r="E747" s="56" t="s">
        <v>308</v>
      </c>
      <c r="F747" s="56" t="s">
        <v>703</v>
      </c>
    </row>
    <row r="748" spans="1:9" ht="14.1" customHeight="1" x14ac:dyDescent="0.25">
      <c r="A748" s="64" t="s">
        <v>608</v>
      </c>
      <c r="B748" s="53" t="str">
        <f ca="1">IFERROR(INDEX(UNSPSCDes,MATCH(INDIRECT(ADDRESS(ROW(),COLUMN()-1,4)),UNSPSCCode,0)),IF(INDIRECT(ADDRESS(ROW(),COLUMN()-1,4))="70101801","Recursos de la pesca en aguas interiores",""))</f>
        <v>Recursos de la pesca en aguas interiores</v>
      </c>
      <c r="C748" s="65" t="str">
        <f>IFERROR(VLOOKUP("UD",'Informacion '!P:Q,2,FALSE),"")</f>
        <v>Unidad</v>
      </c>
      <c r="D748" s="64">
        <v>1</v>
      </c>
      <c r="E748" s="55">
        <v>1000000</v>
      </c>
      <c r="F748" s="54">
        <f ca="1">INDIRECT(ADDRESS(ROW(),COLUMN()-2,4))*INDIRECT(ADDRESS(ROW(),COLUMN()-1,4))</f>
        <v>1000000</v>
      </c>
    </row>
    <row r="749" spans="1:9" ht="14.1" customHeight="1" x14ac:dyDescent="0.25">
      <c r="E749" s="66" t="s">
        <v>581</v>
      </c>
      <c r="F749" s="58">
        <f ca="1">SUM(Table35[MONTO TOTAL ESTIMADO])</f>
        <v>1000000</v>
      </c>
      <c r="G749" s="26" t="str">
        <f>C741</f>
        <v>Servicios</v>
      </c>
      <c r="H749" s="26" t="str">
        <f>E741</f>
        <v>Sí</v>
      </c>
      <c r="I749" s="26" t="str">
        <f>D741</f>
        <v>Comparacion de Precios</v>
      </c>
    </row>
    <row r="751" spans="1:9" ht="33.950000000000003" customHeight="1" x14ac:dyDescent="0.25">
      <c r="A751" s="48" t="s">
        <v>745</v>
      </c>
      <c r="B751" s="48" t="s">
        <v>7</v>
      </c>
      <c r="C751" s="48" t="s">
        <v>533</v>
      </c>
      <c r="D751" s="48" t="s">
        <v>668</v>
      </c>
      <c r="E751" s="48" t="s">
        <v>495</v>
      </c>
      <c r="F751" s="48" t="s">
        <v>506</v>
      </c>
    </row>
    <row r="752" spans="1:9" ht="14.1" customHeight="1" x14ac:dyDescent="0.25">
      <c r="A752" s="50" t="s">
        <v>523</v>
      </c>
      <c r="B752" s="50" t="s">
        <v>735</v>
      </c>
      <c r="C752" s="50" t="s">
        <v>809</v>
      </c>
      <c r="D752" s="50" t="s">
        <v>792</v>
      </c>
      <c r="E752" s="50" t="s">
        <v>392</v>
      </c>
      <c r="F752" s="50"/>
    </row>
    <row r="753" spans="1:9" ht="14.1" customHeight="1" x14ac:dyDescent="0.25">
      <c r="A753" s="67" t="s">
        <v>688</v>
      </c>
      <c r="B753" s="51" t="s">
        <v>372</v>
      </c>
      <c r="C753" s="60">
        <v>43929</v>
      </c>
      <c r="D753" s="67" t="s">
        <v>418</v>
      </c>
      <c r="E753" s="62" t="s">
        <v>613</v>
      </c>
      <c r="F753" s="63" t="s">
        <v>122</v>
      </c>
    </row>
    <row r="754" spans="1:9" ht="14.1" customHeight="1" x14ac:dyDescent="0.25">
      <c r="A754" s="68"/>
      <c r="B754" s="51" t="s">
        <v>72</v>
      </c>
      <c r="C754" s="61">
        <f>IF(C753="","",IF(AND(MONTH(C753)&gt;=1,MONTH(C753)&lt;=3),1,IF(AND(MONTH(C753)&gt;=4,MONTH(C753)&lt;=6),2,IF(AND(MONTH(C753)&gt;=7,MONTH(C753)&lt;=9),3,4))))</f>
        <v>2</v>
      </c>
      <c r="D754" s="68"/>
      <c r="E754" s="62" t="s">
        <v>91</v>
      </c>
      <c r="F754" s="63" t="s">
        <v>670</v>
      </c>
    </row>
    <row r="755" spans="1:9" ht="14.1" customHeight="1" x14ac:dyDescent="0.25">
      <c r="A755" s="68"/>
      <c r="B755" s="51" t="s">
        <v>602</v>
      </c>
      <c r="C755" s="60">
        <v>43936</v>
      </c>
      <c r="D755" s="68"/>
      <c r="E755" s="62" t="s">
        <v>121</v>
      </c>
      <c r="F755" s="63"/>
    </row>
    <row r="756" spans="1:9" ht="14.1" customHeight="1" x14ac:dyDescent="0.25">
      <c r="A756" s="68"/>
      <c r="B756" s="51" t="s">
        <v>72</v>
      </c>
      <c r="C756" s="61">
        <f>IF(C755="","",IF(AND(MONTH(C755)&gt;=1,MONTH(C755)&lt;=3),1,IF(AND(MONTH(C755)&gt;=4,MONTH(C755)&lt;=6),2,IF(AND(MONTH(C755)&gt;=7,MONTH(C755)&lt;=9),3,4))))</f>
        <v>2</v>
      </c>
      <c r="D756" s="68"/>
      <c r="E756" s="62" t="s">
        <v>618</v>
      </c>
      <c r="F756" s="63"/>
    </row>
    <row r="758" spans="1:9" ht="14.1" customHeight="1" x14ac:dyDescent="0.25">
      <c r="A758" s="56" t="s">
        <v>724</v>
      </c>
      <c r="B758" s="56" t="s">
        <v>736</v>
      </c>
      <c r="C758" s="56" t="s">
        <v>718</v>
      </c>
      <c r="D758" s="56" t="s">
        <v>701</v>
      </c>
      <c r="E758" s="56" t="s">
        <v>308</v>
      </c>
      <c r="F758" s="56" t="s">
        <v>703</v>
      </c>
    </row>
    <row r="759" spans="1:9" ht="14.1" customHeight="1" x14ac:dyDescent="0.25">
      <c r="A759" s="64" t="s">
        <v>552</v>
      </c>
      <c r="B759" s="53" t="str">
        <f ca="1">IFERROR(INDEX(UNSPSCDes,MATCH(INDIRECT(ADDRESS(ROW(),COLUMN()-1,4)),UNSPSCCode,0)),IF(INDIRECT(ADDRESS(ROW(),COLUMN()-1,4))="47121603","Brilladoras de pisos",""))</f>
        <v>Brilladoras de pisos</v>
      </c>
      <c r="C759" s="65" t="str">
        <f>IFERROR(VLOOKUP("UD",'Informacion '!P:Q,2,FALSE),"")</f>
        <v>Unidad</v>
      </c>
      <c r="D759" s="64">
        <v>1</v>
      </c>
      <c r="E759" s="55">
        <v>500000</v>
      </c>
      <c r="F759" s="54">
        <f ca="1">INDIRECT(ADDRESS(ROW(),COLUMN()-2,4))*INDIRECT(ADDRESS(ROW(),COLUMN()-1,4))</f>
        <v>500000</v>
      </c>
    </row>
    <row r="760" spans="1:9" ht="14.1" customHeight="1" x14ac:dyDescent="0.25">
      <c r="A760" s="64" t="s">
        <v>270</v>
      </c>
      <c r="B760" s="53" t="str">
        <f ca="1">IFERROR(INDEX(UNSPSCDes,MATCH(INDIRECT(ADDRESS(ROW(),COLUMN()-1,4)),UNSPSCCode,0)),IF(INDIRECT(ADDRESS(ROW(),COLUMN()-1,4))="47121610","Máquina para lavar pisos",""))</f>
        <v>Máquina para lavar pisos</v>
      </c>
      <c r="C760" s="65" t="str">
        <f>IFERROR(VLOOKUP("UD",'Informacion '!P:Q,2,FALSE),"")</f>
        <v>Unidad</v>
      </c>
      <c r="D760" s="64">
        <v>1</v>
      </c>
      <c r="E760" s="55">
        <v>80000</v>
      </c>
      <c r="F760" s="54">
        <f ca="1">INDIRECT(ADDRESS(ROW(),COLUMN()-2,4))*INDIRECT(ADDRESS(ROW(),COLUMN()-1,4))</f>
        <v>80000</v>
      </c>
    </row>
    <row r="761" spans="1:9" ht="14.1" customHeight="1" x14ac:dyDescent="0.25">
      <c r="E761" s="66" t="s">
        <v>581</v>
      </c>
      <c r="F761" s="58">
        <f ca="1">SUM(Table36[MONTO TOTAL ESTIMADO])</f>
        <v>580000</v>
      </c>
      <c r="G761" s="26" t="str">
        <f>C752</f>
        <v>Bienes</v>
      </c>
      <c r="H761" s="26" t="str">
        <f>E752</f>
        <v>Sí</v>
      </c>
      <c r="I761" s="26" t="str">
        <f>D752</f>
        <v>Compras Menores</v>
      </c>
    </row>
    <row r="763" spans="1:9" ht="33.950000000000003" customHeight="1" x14ac:dyDescent="0.25">
      <c r="A763" s="48" t="s">
        <v>745</v>
      </c>
      <c r="B763" s="48" t="s">
        <v>7</v>
      </c>
      <c r="C763" s="48" t="s">
        <v>533</v>
      </c>
      <c r="D763" s="48" t="s">
        <v>668</v>
      </c>
      <c r="E763" s="48" t="s">
        <v>495</v>
      </c>
      <c r="F763" s="48" t="s">
        <v>506</v>
      </c>
    </row>
    <row r="764" spans="1:9" ht="14.1" customHeight="1" x14ac:dyDescent="0.25">
      <c r="A764" s="50" t="s">
        <v>820</v>
      </c>
      <c r="B764" s="50" t="s">
        <v>566</v>
      </c>
      <c r="C764" s="50" t="s">
        <v>298</v>
      </c>
      <c r="D764" s="50" t="s">
        <v>792</v>
      </c>
      <c r="E764" s="50" t="s">
        <v>810</v>
      </c>
      <c r="F764" s="50"/>
    </row>
    <row r="765" spans="1:9" ht="14.1" customHeight="1" x14ac:dyDescent="0.25">
      <c r="A765" s="67" t="s">
        <v>688</v>
      </c>
      <c r="B765" s="51" t="s">
        <v>372</v>
      </c>
      <c r="C765" s="60">
        <v>44055</v>
      </c>
      <c r="D765" s="67" t="s">
        <v>418</v>
      </c>
      <c r="E765" s="62" t="s">
        <v>613</v>
      </c>
      <c r="F765" s="63" t="s">
        <v>122</v>
      </c>
    </row>
    <row r="766" spans="1:9" ht="14.1" customHeight="1" x14ac:dyDescent="0.25">
      <c r="A766" s="68"/>
      <c r="B766" s="51" t="s">
        <v>72</v>
      </c>
      <c r="C766" s="61">
        <f>IF(C765="","",IF(AND(MONTH(C765)&gt;=1,MONTH(C765)&lt;=3),1,IF(AND(MONTH(C765)&gt;=4,MONTH(C765)&lt;=6),2,IF(AND(MONTH(C765)&gt;=7,MONTH(C765)&lt;=9),3,4))))</f>
        <v>3</v>
      </c>
      <c r="D766" s="68"/>
      <c r="E766" s="62" t="s">
        <v>91</v>
      </c>
      <c r="F766" s="63" t="s">
        <v>670</v>
      </c>
    </row>
    <row r="767" spans="1:9" ht="14.1" customHeight="1" x14ac:dyDescent="0.25">
      <c r="A767" s="68"/>
      <c r="B767" s="51" t="s">
        <v>602</v>
      </c>
      <c r="C767" s="60">
        <v>44061</v>
      </c>
      <c r="D767" s="68"/>
      <c r="E767" s="62" t="s">
        <v>121</v>
      </c>
      <c r="F767" s="63"/>
    </row>
    <row r="768" spans="1:9" ht="14.1" customHeight="1" x14ac:dyDescent="0.25">
      <c r="A768" s="68"/>
      <c r="B768" s="51" t="s">
        <v>72</v>
      </c>
      <c r="C768" s="61">
        <f>IF(C767="","",IF(AND(MONTH(C767)&gt;=1,MONTH(C767)&lt;=3),1,IF(AND(MONTH(C767)&gt;=4,MONTH(C767)&lt;=6),2,IF(AND(MONTH(C767)&gt;=7,MONTH(C767)&lt;=9),3,4))))</f>
        <v>3</v>
      </c>
      <c r="D768" s="68"/>
      <c r="E768" s="62" t="s">
        <v>618</v>
      </c>
      <c r="F768" s="63"/>
    </row>
    <row r="770" spans="1:9" ht="14.1" customHeight="1" x14ac:dyDescent="0.25">
      <c r="A770" s="56" t="s">
        <v>724</v>
      </c>
      <c r="B770" s="56" t="s">
        <v>736</v>
      </c>
      <c r="C770" s="56" t="s">
        <v>718</v>
      </c>
      <c r="D770" s="56" t="s">
        <v>701</v>
      </c>
      <c r="E770" s="56" t="s">
        <v>308</v>
      </c>
      <c r="F770" s="56" t="s">
        <v>703</v>
      </c>
    </row>
    <row r="771" spans="1:9" ht="14.1" customHeight="1" x14ac:dyDescent="0.25">
      <c r="A771" s="64" t="s">
        <v>105</v>
      </c>
      <c r="B771" s="53" t="str">
        <f ca="1">IFERROR(INDEX(UNSPSCDes,MATCH(INDIRECT(ADDRESS(ROW(),COLUMN()-1,4)),UNSPSCCode,0)),IF(INDIRECT(ADDRESS(ROW(),COLUMN()-1,4))="73121805","Servicios de fabricación de productos de concreto o agregados o piedra",""))</f>
        <v>Servicios de fabricación de productos de concreto o agregados o piedra</v>
      </c>
      <c r="C771" s="65" t="str">
        <f>IFERROR(VLOOKUP("UD",'Informacion '!P:Q,2,FALSE),"")</f>
        <v>Unidad</v>
      </c>
      <c r="D771" s="64">
        <v>1</v>
      </c>
      <c r="E771" s="55">
        <v>700000</v>
      </c>
      <c r="F771" s="54">
        <f ca="1">INDIRECT(ADDRESS(ROW(),COLUMN()-2,4))*INDIRECT(ADDRESS(ROW(),COLUMN()-1,4))</f>
        <v>700000</v>
      </c>
    </row>
    <row r="772" spans="1:9" ht="14.1" customHeight="1" x14ac:dyDescent="0.25">
      <c r="E772" s="66" t="s">
        <v>581</v>
      </c>
      <c r="F772" s="58">
        <f ca="1">SUM(Table37[MONTO TOTAL ESTIMADO])</f>
        <v>700000</v>
      </c>
      <c r="G772" s="26" t="str">
        <f>C764</f>
        <v>Servicios</v>
      </c>
      <c r="H772" s="26" t="str">
        <f>E764</f>
        <v>No</v>
      </c>
      <c r="I772" s="26" t="str">
        <f>D764</f>
        <v>Compras Menores</v>
      </c>
    </row>
    <row r="774" spans="1:9" ht="33.950000000000003" customHeight="1" x14ac:dyDescent="0.25">
      <c r="A774" s="48" t="s">
        <v>745</v>
      </c>
      <c r="B774" s="48" t="s">
        <v>7</v>
      </c>
      <c r="C774" s="48" t="s">
        <v>533</v>
      </c>
      <c r="D774" s="48" t="s">
        <v>668</v>
      </c>
      <c r="E774" s="48" t="s">
        <v>495</v>
      </c>
      <c r="F774" s="48" t="s">
        <v>506</v>
      </c>
    </row>
    <row r="775" spans="1:9" ht="14.1" customHeight="1" x14ac:dyDescent="0.25">
      <c r="A775" s="50" t="s">
        <v>260</v>
      </c>
      <c r="B775" s="50" t="s">
        <v>294</v>
      </c>
      <c r="C775" s="50" t="s">
        <v>809</v>
      </c>
      <c r="D775" s="50" t="s">
        <v>74</v>
      </c>
      <c r="E775" s="50" t="s">
        <v>810</v>
      </c>
      <c r="F775" s="50"/>
    </row>
    <row r="776" spans="1:9" ht="14.1" customHeight="1" x14ac:dyDescent="0.25">
      <c r="A776" s="67" t="s">
        <v>688</v>
      </c>
      <c r="B776" s="51" t="s">
        <v>372</v>
      </c>
      <c r="C776" s="60">
        <v>43956</v>
      </c>
      <c r="D776" s="67" t="s">
        <v>418</v>
      </c>
      <c r="E776" s="62" t="s">
        <v>613</v>
      </c>
      <c r="F776" s="63" t="s">
        <v>122</v>
      </c>
    </row>
    <row r="777" spans="1:9" ht="14.1" customHeight="1" x14ac:dyDescent="0.25">
      <c r="A777" s="68"/>
      <c r="B777" s="51" t="s">
        <v>72</v>
      </c>
      <c r="C777" s="61">
        <f>IF(C776="","",IF(AND(MONTH(C776)&gt;=1,MONTH(C776)&lt;=3),1,IF(AND(MONTH(C776)&gt;=4,MONTH(C776)&lt;=6),2,IF(AND(MONTH(C776)&gt;=7,MONTH(C776)&lt;=9),3,4))))</f>
        <v>2</v>
      </c>
      <c r="D777" s="68"/>
      <c r="E777" s="62" t="s">
        <v>91</v>
      </c>
      <c r="F777" s="63"/>
    </row>
    <row r="778" spans="1:9" ht="14.1" customHeight="1" x14ac:dyDescent="0.25">
      <c r="A778" s="68"/>
      <c r="B778" s="51" t="s">
        <v>602</v>
      </c>
      <c r="C778" s="60">
        <v>43969</v>
      </c>
      <c r="D778" s="68"/>
      <c r="E778" s="62" t="s">
        <v>121</v>
      </c>
      <c r="F778" s="63"/>
    </row>
    <row r="779" spans="1:9" ht="14.1" customHeight="1" x14ac:dyDescent="0.25">
      <c r="A779" s="68"/>
      <c r="B779" s="51" t="s">
        <v>72</v>
      </c>
      <c r="C779" s="61">
        <f>IF(C778="","",IF(AND(MONTH(C778)&gt;=1,MONTH(C778)&lt;=3),1,IF(AND(MONTH(C778)&gt;=4,MONTH(C778)&lt;=6),2,IF(AND(MONTH(C778)&gt;=7,MONTH(C778)&lt;=9),3,4))))</f>
        <v>2</v>
      </c>
      <c r="D779" s="68"/>
      <c r="E779" s="62" t="s">
        <v>618</v>
      </c>
      <c r="F779" s="63"/>
    </row>
    <row r="781" spans="1:9" ht="14.1" customHeight="1" x14ac:dyDescent="0.25">
      <c r="A781" s="56" t="s">
        <v>724</v>
      </c>
      <c r="B781" s="56" t="s">
        <v>736</v>
      </c>
      <c r="C781" s="56" t="s">
        <v>718</v>
      </c>
      <c r="D781" s="56" t="s">
        <v>701</v>
      </c>
      <c r="E781" s="56" t="s">
        <v>308</v>
      </c>
      <c r="F781" s="56" t="s">
        <v>703</v>
      </c>
    </row>
    <row r="782" spans="1:9" ht="14.1" customHeight="1" x14ac:dyDescent="0.25">
      <c r="A782" s="64" t="s">
        <v>593</v>
      </c>
      <c r="B782" s="53" t="str">
        <f ca="1">IFERROR(INDEX(UNSPSCDes,MATCH(INDIRECT(ADDRESS(ROW(),COLUMN()-1,4)),UNSPSCCode,0)),IF(INDIRECT(ADDRESS(ROW(),COLUMN()-1,4))="26111601","Generadores diesel",""))</f>
        <v>Generadores diesel</v>
      </c>
      <c r="C782" s="65" t="str">
        <f>IFERROR(VLOOKUP("UD",'Informacion '!P:Q,2,FALSE),"")</f>
        <v>Unidad</v>
      </c>
      <c r="D782" s="64">
        <v>1</v>
      </c>
      <c r="E782" s="55">
        <v>2200000</v>
      </c>
      <c r="F782" s="54">
        <f ca="1">INDIRECT(ADDRESS(ROW(),COLUMN()-2,4))*INDIRECT(ADDRESS(ROW(),COLUMN()-1,4))</f>
        <v>2200000</v>
      </c>
    </row>
    <row r="783" spans="1:9" ht="14.1" customHeight="1" x14ac:dyDescent="0.25">
      <c r="E783" s="66" t="s">
        <v>581</v>
      </c>
      <c r="F783" s="58">
        <f ca="1">SUM(Table38[MONTO TOTAL ESTIMADO])</f>
        <v>2200000</v>
      </c>
      <c r="G783" s="26" t="str">
        <f>C775</f>
        <v>Bienes</v>
      </c>
      <c r="H783" s="26" t="str">
        <f>E775</f>
        <v>No</v>
      </c>
      <c r="I783" s="26" t="str">
        <f>D775</f>
        <v>Comparacion de Precios</v>
      </c>
    </row>
    <row r="785" spans="1:9" ht="33.950000000000003" customHeight="1" x14ac:dyDescent="0.25">
      <c r="A785" s="48" t="s">
        <v>745</v>
      </c>
      <c r="B785" s="48" t="s">
        <v>7</v>
      </c>
      <c r="C785" s="48" t="s">
        <v>533</v>
      </c>
      <c r="D785" s="48" t="s">
        <v>668</v>
      </c>
      <c r="E785" s="48" t="s">
        <v>495</v>
      </c>
      <c r="F785" s="48" t="s">
        <v>506</v>
      </c>
    </row>
    <row r="786" spans="1:9" ht="14.1" customHeight="1" x14ac:dyDescent="0.25">
      <c r="A786" s="50" t="s">
        <v>676</v>
      </c>
      <c r="B786" s="50" t="s">
        <v>827</v>
      </c>
      <c r="C786" s="50" t="s">
        <v>809</v>
      </c>
      <c r="D786" s="50" t="s">
        <v>792</v>
      </c>
      <c r="E786" s="50" t="s">
        <v>810</v>
      </c>
      <c r="F786" s="50"/>
    </row>
    <row r="787" spans="1:9" ht="14.1" customHeight="1" x14ac:dyDescent="0.25">
      <c r="A787" s="67" t="s">
        <v>688</v>
      </c>
      <c r="B787" s="51" t="s">
        <v>372</v>
      </c>
      <c r="C787" s="60">
        <v>44054</v>
      </c>
      <c r="D787" s="67" t="s">
        <v>418</v>
      </c>
      <c r="E787" s="62" t="s">
        <v>613</v>
      </c>
      <c r="F787" s="63" t="s">
        <v>122</v>
      </c>
    </row>
    <row r="788" spans="1:9" ht="14.1" customHeight="1" x14ac:dyDescent="0.25">
      <c r="A788" s="68"/>
      <c r="B788" s="51" t="s">
        <v>72</v>
      </c>
      <c r="C788" s="61">
        <f>IF(C787="","",IF(AND(MONTH(C787)&gt;=1,MONTH(C787)&lt;=3),1,IF(AND(MONTH(C787)&gt;=4,MONTH(C787)&lt;=6),2,IF(AND(MONTH(C787)&gt;=7,MONTH(C787)&lt;=9),3,4))))</f>
        <v>3</v>
      </c>
      <c r="D788" s="68"/>
      <c r="E788" s="62" t="s">
        <v>91</v>
      </c>
      <c r="F788" s="63" t="s">
        <v>670</v>
      </c>
    </row>
    <row r="789" spans="1:9" ht="14.1" customHeight="1" x14ac:dyDescent="0.25">
      <c r="A789" s="68"/>
      <c r="B789" s="51" t="s">
        <v>602</v>
      </c>
      <c r="C789" s="60">
        <v>44061</v>
      </c>
      <c r="D789" s="68"/>
      <c r="E789" s="62" t="s">
        <v>121</v>
      </c>
      <c r="F789" s="63"/>
    </row>
    <row r="790" spans="1:9" ht="14.1" customHeight="1" x14ac:dyDescent="0.25">
      <c r="A790" s="68"/>
      <c r="B790" s="51" t="s">
        <v>72</v>
      </c>
      <c r="C790" s="61">
        <f>IF(C789="","",IF(AND(MONTH(C789)&gt;=1,MONTH(C789)&lt;=3),1,IF(AND(MONTH(C789)&gt;=4,MONTH(C789)&lt;=6),2,IF(AND(MONTH(C789)&gt;=7,MONTH(C789)&lt;=9),3,4))))</f>
        <v>3</v>
      </c>
      <c r="D790" s="68"/>
      <c r="E790" s="62" t="s">
        <v>618</v>
      </c>
      <c r="F790" s="63"/>
    </row>
    <row r="792" spans="1:9" ht="14.1" customHeight="1" x14ac:dyDescent="0.25">
      <c r="A792" s="56" t="s">
        <v>724</v>
      </c>
      <c r="B792" s="56" t="s">
        <v>736</v>
      </c>
      <c r="C792" s="56" t="s">
        <v>718</v>
      </c>
      <c r="D792" s="56" t="s">
        <v>701</v>
      </c>
      <c r="E792" s="56" t="s">
        <v>308</v>
      </c>
      <c r="F792" s="56" t="s">
        <v>703</v>
      </c>
    </row>
    <row r="793" spans="1:9" ht="14.1" customHeight="1" x14ac:dyDescent="0.25">
      <c r="A793" s="64" t="s">
        <v>379</v>
      </c>
      <c r="B793" s="53" t="str">
        <f ca="1">IFERROR(INDEX(UNSPSCDes,MATCH(INDIRECT(ADDRESS(ROW(),COLUMN()-1,4)),UNSPSCCode,0)),IF(INDIRECT(ADDRESS(ROW(),COLUMN()-1,4))="40101701","Aires acondicionados",""))</f>
        <v>Aires acondicionados</v>
      </c>
      <c r="C793" s="65" t="str">
        <f>IFERROR(VLOOKUP("UD",'Informacion '!P:Q,2,FALSE),"")</f>
        <v>Unidad</v>
      </c>
      <c r="D793" s="64">
        <v>2</v>
      </c>
      <c r="E793" s="55">
        <v>25000</v>
      </c>
      <c r="F793" s="54">
        <f ca="1">INDIRECT(ADDRESS(ROW(),COLUMN()-2,4))*INDIRECT(ADDRESS(ROW(),COLUMN()-1,4))</f>
        <v>50000</v>
      </c>
    </row>
    <row r="794" spans="1:9" ht="14.1" customHeight="1" x14ac:dyDescent="0.25">
      <c r="A794" s="64" t="s">
        <v>379</v>
      </c>
      <c r="B794" s="53" t="str">
        <f ca="1">IFERROR(INDEX(UNSPSCDes,MATCH(INDIRECT(ADDRESS(ROW(),COLUMN()-1,4)),UNSPSCCode,0)),IF(INDIRECT(ADDRESS(ROW(),COLUMN()-1,4))="40101701","Aires acondicionados",""))</f>
        <v>Aires acondicionados</v>
      </c>
      <c r="C794" s="65" t="str">
        <f>IFERROR(VLOOKUP("UD",'Informacion '!P:Q,2,FALSE),"")</f>
        <v>Unidad</v>
      </c>
      <c r="D794" s="64">
        <v>2</v>
      </c>
      <c r="E794" s="55">
        <v>30000</v>
      </c>
      <c r="F794" s="54">
        <f ca="1">INDIRECT(ADDRESS(ROW(),COLUMN()-2,4))*INDIRECT(ADDRESS(ROW(),COLUMN()-1,4))</f>
        <v>60000</v>
      </c>
    </row>
    <row r="795" spans="1:9" ht="14.1" customHeight="1" x14ac:dyDescent="0.25">
      <c r="A795" s="64" t="s">
        <v>379</v>
      </c>
      <c r="B795" s="53" t="str">
        <f ca="1">IFERROR(INDEX(UNSPSCDes,MATCH(INDIRECT(ADDRESS(ROW(),COLUMN()-1,4)),UNSPSCCode,0)),IF(INDIRECT(ADDRESS(ROW(),COLUMN()-1,4))="40101701","Aires acondicionados",""))</f>
        <v>Aires acondicionados</v>
      </c>
      <c r="C795" s="65" t="str">
        <f>IFERROR(VLOOKUP("UD",'Informacion '!P:Q,2,FALSE),"")</f>
        <v>Unidad</v>
      </c>
      <c r="D795" s="64">
        <v>2</v>
      </c>
      <c r="E795" s="55">
        <v>60000</v>
      </c>
      <c r="F795" s="54">
        <f ca="1">INDIRECT(ADDRESS(ROW(),COLUMN()-2,4))*INDIRECT(ADDRESS(ROW(),COLUMN()-1,4))</f>
        <v>120000</v>
      </c>
    </row>
    <row r="796" spans="1:9" ht="14.1" customHeight="1" x14ac:dyDescent="0.25">
      <c r="A796" s="64" t="s">
        <v>816</v>
      </c>
      <c r="B796" s="53" t="str">
        <f ca="1">IFERROR(INDEX(UNSPSCDes,MATCH(INDIRECT(ADDRESS(ROW(),COLUMN()-1,4)),UNSPSCCode,0)),IF(INDIRECT(ADDRESS(ROW(),COLUMN()-1,4))="41104814","Condensadores intercambiadores de calor para laboratorio",""))</f>
        <v>Condensadores intercambiadores de calor para laboratorio</v>
      </c>
      <c r="C796" s="65" t="str">
        <f>IFERROR(VLOOKUP("UD",'Informacion '!P:Q,2,FALSE),"")</f>
        <v>Unidad</v>
      </c>
      <c r="D796" s="64">
        <v>1</v>
      </c>
      <c r="E796" s="55">
        <v>80000</v>
      </c>
      <c r="F796" s="54">
        <f ca="1">INDIRECT(ADDRESS(ROW(),COLUMN()-2,4))*INDIRECT(ADDRESS(ROW(),COLUMN()-1,4))</f>
        <v>80000</v>
      </c>
    </row>
    <row r="797" spans="1:9" ht="14.1" customHeight="1" x14ac:dyDescent="0.25">
      <c r="E797" s="66" t="s">
        <v>581</v>
      </c>
      <c r="F797" s="58">
        <f ca="1">SUM(Table39[MONTO TOTAL ESTIMADO])</f>
        <v>310000</v>
      </c>
      <c r="G797" s="26" t="str">
        <f>C786</f>
        <v>Bienes</v>
      </c>
      <c r="H797" s="26" t="str">
        <f>E786</f>
        <v>No</v>
      </c>
      <c r="I797" s="26" t="str">
        <f>D786</f>
        <v>Compras Menores</v>
      </c>
    </row>
    <row r="799" spans="1:9" ht="33.950000000000003" customHeight="1" x14ac:dyDescent="0.25">
      <c r="A799" s="48" t="s">
        <v>745</v>
      </c>
      <c r="B799" s="48" t="s">
        <v>7</v>
      </c>
      <c r="C799" s="48" t="s">
        <v>533</v>
      </c>
      <c r="D799" s="48" t="s">
        <v>668</v>
      </c>
      <c r="E799" s="48" t="s">
        <v>495</v>
      </c>
      <c r="F799" s="48" t="s">
        <v>506</v>
      </c>
    </row>
    <row r="800" spans="1:9" ht="14.1" customHeight="1" x14ac:dyDescent="0.25">
      <c r="A800" s="50" t="s">
        <v>554</v>
      </c>
      <c r="B800" s="50" t="s">
        <v>321</v>
      </c>
      <c r="C800" s="50" t="s">
        <v>809</v>
      </c>
      <c r="D800" s="50" t="s">
        <v>74</v>
      </c>
      <c r="E800" s="50" t="s">
        <v>810</v>
      </c>
      <c r="F800" s="50"/>
    </row>
    <row r="801" spans="1:9" ht="14.1" customHeight="1" x14ac:dyDescent="0.25">
      <c r="A801" s="67" t="s">
        <v>688</v>
      </c>
      <c r="B801" s="51" t="s">
        <v>372</v>
      </c>
      <c r="C801" s="60">
        <v>44105</v>
      </c>
      <c r="D801" s="67" t="s">
        <v>418</v>
      </c>
      <c r="E801" s="62" t="s">
        <v>613</v>
      </c>
      <c r="F801" s="63" t="s">
        <v>122</v>
      </c>
    </row>
    <row r="802" spans="1:9" ht="14.1" customHeight="1" x14ac:dyDescent="0.25">
      <c r="A802" s="68"/>
      <c r="B802" s="51" t="s">
        <v>72</v>
      </c>
      <c r="C802" s="61">
        <f>IF(C801="","",IF(AND(MONTH(C801)&gt;=1,MONTH(C801)&lt;=3),1,IF(AND(MONTH(C801)&gt;=4,MONTH(C801)&lt;=6),2,IF(AND(MONTH(C801)&gt;=7,MONTH(C801)&lt;=9),3,4))))</f>
        <v>4</v>
      </c>
      <c r="D802" s="68"/>
      <c r="E802" s="62" t="s">
        <v>91</v>
      </c>
      <c r="F802" s="63" t="s">
        <v>670</v>
      </c>
    </row>
    <row r="803" spans="1:9" ht="14.1" customHeight="1" x14ac:dyDescent="0.25">
      <c r="A803" s="68"/>
      <c r="B803" s="51" t="s">
        <v>602</v>
      </c>
      <c r="C803" s="60">
        <v>44118</v>
      </c>
      <c r="D803" s="68"/>
      <c r="E803" s="62" t="s">
        <v>121</v>
      </c>
      <c r="F803" s="63"/>
    </row>
    <row r="804" spans="1:9" ht="14.1" customHeight="1" x14ac:dyDescent="0.25">
      <c r="A804" s="68"/>
      <c r="B804" s="51" t="s">
        <v>72</v>
      </c>
      <c r="C804" s="61">
        <f>IF(C803="","",IF(AND(MONTH(C803)&gt;=1,MONTH(C803)&lt;=3),1,IF(AND(MONTH(C803)&gt;=4,MONTH(C803)&lt;=6),2,IF(AND(MONTH(C803)&gt;=7,MONTH(C803)&lt;=9),3,4))))</f>
        <v>4</v>
      </c>
      <c r="D804" s="68"/>
      <c r="E804" s="62" t="s">
        <v>618</v>
      </c>
      <c r="F804" s="63"/>
    </row>
    <row r="806" spans="1:9" ht="14.1" customHeight="1" x14ac:dyDescent="0.25">
      <c r="A806" s="56" t="s">
        <v>724</v>
      </c>
      <c r="B806" s="56" t="s">
        <v>736</v>
      </c>
      <c r="C806" s="56" t="s">
        <v>718</v>
      </c>
      <c r="D806" s="56" t="s">
        <v>701</v>
      </c>
      <c r="E806" s="56" t="s">
        <v>308</v>
      </c>
      <c r="F806" s="56" t="s">
        <v>703</v>
      </c>
    </row>
    <row r="807" spans="1:9" ht="14.1" customHeight="1" x14ac:dyDescent="0.25">
      <c r="A807" s="64" t="s">
        <v>729</v>
      </c>
      <c r="B807" s="53" t="str">
        <f ca="1">IFERROR(INDEX(UNSPSCDes,MATCH(INDIRECT(ADDRESS(ROW(),COLUMN()-1,4)),UNSPSCCode,0)),IF(INDIRECT(ADDRESS(ROW(),COLUMN()-1,4))="39101612","Lámparas incandescentes",""))</f>
        <v>Lámparas incandescentes</v>
      </c>
      <c r="C807" s="65" t="str">
        <f>IFERROR(VLOOKUP("UD",'Informacion '!P:Q,2,FALSE),"")</f>
        <v>Unidad</v>
      </c>
      <c r="D807" s="64">
        <v>55</v>
      </c>
      <c r="E807" s="55">
        <v>30100</v>
      </c>
      <c r="F807" s="54">
        <f ca="1">INDIRECT(ADDRESS(ROW(),COLUMN()-2,4))*INDIRECT(ADDRESS(ROW(),COLUMN()-1,4))</f>
        <v>1655500</v>
      </c>
    </row>
    <row r="808" spans="1:9" ht="14.1" customHeight="1" x14ac:dyDescent="0.25">
      <c r="A808" s="64" t="s">
        <v>292</v>
      </c>
      <c r="B808" s="53" t="str">
        <f ca="1">IFERROR(INDEX(UNSPSCDes,MATCH(INDIRECT(ADDRESS(ROW(),COLUMN()-1,4)),UNSPSCCode,0)),IF(INDIRECT(ADDRESS(ROW(),COLUMN()-1,4))="39101613","Lámparas infrarrojas",""))</f>
        <v>Lámparas infrarrojas</v>
      </c>
      <c r="C808" s="65" t="str">
        <f>IFERROR(VLOOKUP("UD",'Informacion '!P:Q,2,FALSE),"")</f>
        <v>Unidad</v>
      </c>
      <c r="D808" s="64">
        <v>55</v>
      </c>
      <c r="E808" s="55">
        <v>13500</v>
      </c>
      <c r="F808" s="54">
        <f ca="1">INDIRECT(ADDRESS(ROW(),COLUMN()-2,4))*INDIRECT(ADDRESS(ROW(),COLUMN()-1,4))</f>
        <v>742500</v>
      </c>
    </row>
    <row r="809" spans="1:9" ht="14.1" customHeight="1" x14ac:dyDescent="0.25">
      <c r="A809" s="64" t="s">
        <v>732</v>
      </c>
      <c r="B809" s="53" t="str">
        <f ca="1">IFERROR(INDEX(UNSPSCDes,MATCH(INDIRECT(ADDRESS(ROW(),COLUMN()-1,4)),UNSPSCCode,0)),IF(INDIRECT(ADDRESS(ROW(),COLUMN()-1,4))="72102201","Instalación o servicio de sistemas de energía eléctrica",""))</f>
        <v>Instalación o servicio de sistemas de energía eléctrica</v>
      </c>
      <c r="C809" s="65" t="str">
        <f>IFERROR(VLOOKUP("UD",'Informacion '!P:Q,2,FALSE),"")</f>
        <v>Unidad</v>
      </c>
      <c r="D809" s="64">
        <v>1</v>
      </c>
      <c r="E809" s="55">
        <v>302000</v>
      </c>
      <c r="F809" s="54">
        <f ca="1">INDIRECT(ADDRESS(ROW(),COLUMN()-2,4))*INDIRECT(ADDRESS(ROW(),COLUMN()-1,4))</f>
        <v>302000</v>
      </c>
    </row>
    <row r="810" spans="1:9" ht="14.1" customHeight="1" x14ac:dyDescent="0.25">
      <c r="E810" s="66" t="s">
        <v>581</v>
      </c>
      <c r="F810" s="58">
        <f ca="1">SUM(Table40[MONTO TOTAL ESTIMADO])</f>
        <v>2700000</v>
      </c>
      <c r="G810" s="26" t="str">
        <f>C800</f>
        <v>Bienes</v>
      </c>
      <c r="H810" s="26" t="str">
        <f>E800</f>
        <v>No</v>
      </c>
      <c r="I810" s="26" t="str">
        <f>D800</f>
        <v>Comparacion de Precios</v>
      </c>
    </row>
  </sheetData>
  <sheetProtection formatCells="0" insertColumns="0" insertRows="0" insertHyperlinks="0" deleteColumns="0" deleteRows="0" sort="0" autoFilter="0" pivotTables="0"/>
  <protectedRanges>
    <protectedRange sqref="F5" name="Rango3"/>
    <protectedRange sqref="E11:E12" name="Rango2"/>
  </protectedRanges>
  <mergeCells count="84">
    <mergeCell ref="E9:F9"/>
    <mergeCell ref="E8:F8"/>
    <mergeCell ref="E10:F10"/>
    <mergeCell ref="E11:F11"/>
    <mergeCell ref="E12:F12"/>
    <mergeCell ref="A1:A4"/>
    <mergeCell ref="E6:F6"/>
    <mergeCell ref="E7:F7"/>
    <mergeCell ref="B2:E2"/>
    <mergeCell ref="B3:E3"/>
    <mergeCell ref="A17:A20"/>
    <mergeCell ref="D17:D20"/>
    <mergeCell ref="A31:A34"/>
    <mergeCell ref="D31:D34"/>
    <mergeCell ref="A43:A46"/>
    <mergeCell ref="D43:D46"/>
    <mergeCell ref="A84:A87"/>
    <mergeCell ref="D84:D87"/>
    <mergeCell ref="A133:A136"/>
    <mergeCell ref="D133:D136"/>
    <mergeCell ref="A144:A147"/>
    <mergeCell ref="D144:D147"/>
    <mergeCell ref="A157:A160"/>
    <mergeCell ref="D157:D160"/>
    <mergeCell ref="A168:A171"/>
    <mergeCell ref="D168:D171"/>
    <mergeCell ref="A311:A314"/>
    <mergeCell ref="D311:D314"/>
    <mergeCell ref="A322:A325"/>
    <mergeCell ref="D322:D325"/>
    <mergeCell ref="A336:A339"/>
    <mergeCell ref="D336:D339"/>
    <mergeCell ref="A350:A353"/>
    <mergeCell ref="D350:D353"/>
    <mergeCell ref="A362:A365"/>
    <mergeCell ref="D362:D365"/>
    <mergeCell ref="A374:A377"/>
    <mergeCell ref="D374:D377"/>
    <mergeCell ref="A387:A390"/>
    <mergeCell ref="D387:D390"/>
    <mergeCell ref="A400:A403"/>
    <mergeCell ref="D400:D403"/>
    <mergeCell ref="A415:A418"/>
    <mergeCell ref="D415:D418"/>
    <mergeCell ref="A430:A433"/>
    <mergeCell ref="D430:D433"/>
    <mergeCell ref="A466:A469"/>
    <mergeCell ref="D466:D469"/>
    <mergeCell ref="A478:A481"/>
    <mergeCell ref="D478:D481"/>
    <mergeCell ref="A490:A493"/>
    <mergeCell ref="D490:D493"/>
    <mergeCell ref="A503:A506"/>
    <mergeCell ref="D503:D506"/>
    <mergeCell ref="A517:A520"/>
    <mergeCell ref="D517:D520"/>
    <mergeCell ref="A557:A560"/>
    <mergeCell ref="D557:D560"/>
    <mergeCell ref="A597:A600"/>
    <mergeCell ref="D597:D600"/>
    <mergeCell ref="A622:A625"/>
    <mergeCell ref="D622:D625"/>
    <mergeCell ref="A658:A661"/>
    <mergeCell ref="D658:D661"/>
    <mergeCell ref="A669:A672"/>
    <mergeCell ref="D669:D672"/>
    <mergeCell ref="A687:A690"/>
    <mergeCell ref="D687:D690"/>
    <mergeCell ref="A701:A704"/>
    <mergeCell ref="D701:D704"/>
    <mergeCell ref="A726:A729"/>
    <mergeCell ref="D726:D729"/>
    <mergeCell ref="A742:A745"/>
    <mergeCell ref="D742:D745"/>
    <mergeCell ref="A753:A756"/>
    <mergeCell ref="D753:D756"/>
    <mergeCell ref="A801:A804"/>
    <mergeCell ref="D801:D804"/>
    <mergeCell ref="A765:A768"/>
    <mergeCell ref="D765:D768"/>
    <mergeCell ref="A776:A779"/>
    <mergeCell ref="D776:D779"/>
    <mergeCell ref="A787:A790"/>
    <mergeCell ref="D787:D790"/>
  </mergeCells>
  <dataValidations count="12">
    <dataValidation type="whole" allowBlank="1" showInputMessage="1" showErrorMessage="1" sqref="E11:F11">
      <formula1>1900</formula1>
      <formula2>3000</formula2>
    </dataValidation>
    <dataValidation type="date" operator="greaterThan" allowBlank="1" showInputMessage="1" showErrorMessage="1" sqref="E12:F12">
      <formula1>36526</formula1>
    </dataValidation>
    <dataValidation operator="greaterThan" allowBlank="1" showInputMessage="1" showErrorMessage="1" sqref="E10:F10"/>
    <dataValidation type="date" operator="lessThanOrEqual" allowBlank="1" showInputMessage="1" showErrorMessage="1" sqref="C17 C801 C787 C776 C765 C753 C742 C726 C701 C687 C669 C658 C622 C597 C557 C517 C503 C490 C478 C466 C430 C415 C400 C387 C374 C362 C350 C336 C322 C311 C168 C157 C144 C133 C84 C43 C31">
      <formula1>C19</formula1>
    </dataValidation>
    <dataValidation type="date" operator="greaterThanOrEqual" allowBlank="1" showInputMessage="1" showErrorMessage="1" sqref="C19 C803 C789 C778 C767 C755 C744 C728 C703 C689 C671 C660 C624 C599 C559 C519 C505 C492 C480 C468 C432 C417 C402 C389 C376 C364 C352 C338 C324 C313 C170 C159 C146 C135 C86 C45 C33">
      <formula1>C17</formula1>
    </dataValidation>
    <dataValidation type="list" allowBlank="1" showInputMessage="1" showErrorMessage="1" sqref="F17 F801 F787 F776 F765 F753 F742 F726 F701 F687 F669 F658 F622 F597 F557 F517 F503 F490 F478 F466 F430 F415 F400 F387 F374 F362 F350 F336 F322 F311 F168 F157 F144 F133 F84 F43 F31">
      <formula1>IF(INDIRECT(ADDRESS(ROW()+1,COLUMN(),4))="",RegionList,INDEX(RegionColumn,MATCH(INDIRECT(ADDRESS(ROW()+1,COLUMN(),4)),ProvinciaList,0)))</formula1>
    </dataValidation>
    <dataValidation type="list" allowBlank="1" showInputMessage="1" showErrorMessage="1" sqref="F18 F802 F788 F777 F766 F754 F743 F727 F702 F688 F670 F659 F623 F598 F558 F518 F504 F491 F479 F467 F431 F416 F401 F388 F375 F363 F351 F337 F323 F312 F169 F158 F145 F134 F85 F44 F32">
      <formula1>IF(INDIRECT(ADDRESS(ROW()+1,COLUMN(),4))="",OFFSET(RegionStart,MATCH(INDIRECT(ADDRESS(ROW()-1,COLUMN(),4)),RegionColumn,0)-1,1,COUNTIF(RegionColumn,INDIRECT(ADDRESS(ROW()-1,COLUMN(),4))),1),INDEX(ProvinciaColumn,MATCH(INDIRECT(ADDRESS(ROW()+1,COLUMN(),4)),MunicipioList,0)))</formula1>
    </dataValidation>
    <dataValidation type="list" allowBlank="1" showInputMessage="1" showErrorMessage="1" sqref="F19 F803 F789 F778 F767 F755 F744 F728 F703 F689 F671 F660 F624 F599 F559 F519 F505 F492 F480 F468 F432 F417 F402 F389 F376 F364 F352 F338 F324 F313 F170 F159 F146 F135 F86 F45 F33">
      <formula1>IF(INDIRECT(ADDRESS(ROW()+1,COLUMN(),4))="",OFFSET(ProvinciaStart,MATCH(INDIRECT(ADDRESS(ROW()-1,COLUMN(),4)),ProvinciaColumn,0)-1,1,COUNTIF(ProvinciaColumn,INDIRECT(ADDRESS(ROW()-1,COLUMN(),4))),1),INDEX(MunicipioColumn,MATCH(INDIRECT(ADDRESS(ROW()+1,COLUMN(),4)),DistritoList,0)))</formula1>
    </dataValidation>
    <dataValidation type="list" allowBlank="1" showInputMessage="1" showErrorMessage="1" sqref="F20 F804 F790 F779 F768 F756 F745 F729 F704 F690 F672 F661 F625 F600 F560 F520 F506 F493 F481 F469 F433 F418 F403 F390 F377 F365 F353 F339 F325 F314 F171 F160 F147 F136 F87 F46 F34">
      <formula1>OFFSET(MunicipioStart,MATCH(INDIRECT(ADDRESS(ROW()-1,COLUMN(),4)),MunicipioColumn,0)-1,1,COUNTIF(MunicipioColumn,INDIRECT(ADDRESS(ROW()-1,COLUMN(),4))),1)</formula1>
    </dataValidation>
    <dataValidation type="whole" operator="greaterThan" allowBlank="1" showInputMessage="1" showErrorMessage="1" sqref="A807:A809 A793:A796 A782 A771 A759:A760 A748 A732:A737 A707:A721 A693:A696 A675:A682 A664 A628:A653 A603:A617 A563:A592 A523:A552 A509:A512 A496:A498 A484:A485 A472:A473 A436:A461 A421:A425 A406:A410 A393:A395 A380:A382 A368:A369 A356:A357 A342:A345 A328:A331 A317 A174:A306 A163 A150:A152 A139 A90:A128 A49:A79 A37:A38 A23:A26">
      <formula1>0</formula1>
    </dataValidation>
    <dataValidation type="list" allowBlank="1" showInputMessage="1" showErrorMessage="1" sqref="C807:C809 C793:C796 C782 C771 C759:C760 C748 C732:C737 C707:C721 C693:C696 C675:C682 C664 C628:C653 C603:C617 C563:C592 C523:C552 C509:C512 C496:C498 C484:C485 C472:C473 C436:C461 C421:C425 C406:C410 C393:C395 C380:C382 C368:C369 C356:C357 C342:C345 C328:C331 C317 C174:C306 C163 C150:C152 C139 C90:C128 C49:C79 C37:C38 C23:C26">
      <formula1>UnidadesList</formula1>
    </dataValidation>
    <dataValidation type="decimal" operator="greaterThan" allowBlank="1" showInputMessage="1" showErrorMessage="1" sqref="D807:E809 D793:E796 D782:E782 D771:E771 D759:E760 D748:E748 D732:E737 D707:E721 D693:E696 D675:E682 D664:E664 D628:E653 D603:E617 D563:E592 D523:E552 D509:E512 D496:E498 D484:E485 D472:E473 D436:E461 D421:E425 D406:E410 D393:E395 D380:E382 D368:E369 D356:E357 D342:E345 D328:E331 D317:E317 D174:E306 D163:E163 D150:E152 D139:E139 D90:E128 D49:E79 D37:E38 D23:E26">
      <formula1>0</formula1>
    </dataValidation>
  </dataValidations>
  <pageMargins left="0.7" right="0.7" top="0.75" bottom="0.75" header="0.3" footer="0.3"/>
  <pageSetup scale="3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2290" r:id="rId4" name="Button 1026">
              <controlPr defaultSize="0" autoFill="0" autoLine="0" autoPict="0" macro="[0]!Sheet1.CopyNewProcedure">
                <anchor moveWithCells="1" sizeWithCells="1">
                  <from>
                    <xdr:col>0</xdr:col>
                    <xdr:colOff>0</xdr:colOff>
                    <xdr:row>811</xdr:row>
                    <xdr:rowOff>0</xdr:rowOff>
                  </from>
                  <to>
                    <xdr:col>1</xdr:col>
                    <xdr:colOff>457200</xdr:colOff>
                    <xdr:row>812</xdr:row>
                    <xdr:rowOff>161925</xdr:rowOff>
                  </to>
                </anchor>
              </controlPr>
            </control>
          </mc:Choice>
        </mc:AlternateContent>
      </controls>
    </mc:Choice>
  </mc:AlternateContent>
  <tableParts count="37">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s>
  <extLst>
    <ext xmlns:x14="http://schemas.microsoft.com/office/spreadsheetml/2009/9/main" uri="{CCE6A557-97BC-4b89-ADB6-D9C93CAAB3DF}">
      <x14:dataValidations xmlns:xm="http://schemas.microsoft.com/office/excel/2006/main" count="3">
        <x14:dataValidation type="list" allowBlank="1" showInputMessage="1" showErrorMessage="1">
          <x14:formula1>
            <xm:f>'Informacion '!$S$3:$S$7</xm:f>
          </x14:formula1>
          <xm:sqref>C16 C800 C786 C775 C764 C752 C741 C725 C700 C686 C668 C657 C621 C596 C556 C516 C502 C489 C477 C465 C429 C414 C399 C386 C373 C361 C349 C335 C321 C310 C167 C156 C143 C132 C83 C42 C30</xm:sqref>
        </x14:dataValidation>
        <x14:dataValidation type="list" allowBlank="1" showInputMessage="1" showErrorMessage="1">
          <x14:formula1>
            <xm:f>'Informacion '!$L$3:$L$17</xm:f>
          </x14:formula1>
          <xm:sqref>D16 D800 D786 D775 D764 D752 D741 D725 D700 D686 D668 D657 D621 D596 D556 D516 D502 D489 D477 D465 D429 D414 D399 D386 D373 D361 D349 D335 D321 D310 D167 D156 D143 D132 D83 D42 D30</xm:sqref>
        </x14:dataValidation>
        <x14:dataValidation type="list" allowBlank="1" showInputMessage="1" showErrorMessage="1">
          <x14:formula1>
            <xm:f>'Informacion '!$N$3:$N$5</xm:f>
          </x14:formula1>
          <xm:sqref>E16 E800 E786 E775 E764 E752 E741 E725 E700 E686 E668 E657 E621 E596 E556 E516 E502 E489 E477 E465 E429 E414 E399 E386 E373 E361 E349 E335 E321 E310 E167 E156 E143 E132 E83 E42 E30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U486"/>
  <sheetViews>
    <sheetView topLeftCell="H1" workbookViewId="0">
      <selection activeCell="L6" sqref="L6"/>
    </sheetView>
  </sheetViews>
  <sheetFormatPr baseColWidth="10" defaultColWidth="12.7109375" defaultRowHeight="11.25" x14ac:dyDescent="0.2"/>
  <cols>
    <col min="1" max="6" width="12.7109375" style="5" customWidth="1"/>
    <col min="7" max="7" width="16.42578125" style="5" customWidth="1"/>
    <col min="8" max="9" width="12.7109375" style="5" customWidth="1"/>
    <col min="10" max="10" width="23" style="5" customWidth="1"/>
    <col min="11" max="11" width="1.28515625" style="5" customWidth="1"/>
    <col min="12" max="12" width="39.140625" style="5" customWidth="1"/>
    <col min="13" max="13" width="1.28515625" style="5" customWidth="1"/>
    <col min="14" max="14" width="12.7109375" style="5" customWidth="1"/>
    <col min="15" max="15" width="1.28515625" style="5" customWidth="1"/>
    <col min="16" max="16" width="12.7109375" style="8" customWidth="1"/>
    <col min="17" max="17" width="21.7109375" style="7" customWidth="1"/>
    <col min="18" max="18" width="1.140625" style="5" customWidth="1"/>
    <col min="19" max="19" width="21.140625" style="5" customWidth="1"/>
    <col min="20" max="20" width="1.28515625" style="5" customWidth="1"/>
    <col min="21" max="21" width="19.7109375" style="5" customWidth="1"/>
    <col min="22" max="22" width="0.7109375" style="5" customWidth="1"/>
    <col min="23" max="23" width="12.7109375" style="5" customWidth="1"/>
    <col min="24" max="16384" width="12.7109375" style="5"/>
  </cols>
  <sheetData>
    <row r="1" spans="1:21" x14ac:dyDescent="0.2">
      <c r="A1" s="13" t="s">
        <v>574</v>
      </c>
      <c r="B1" s="15" t="s">
        <v>547</v>
      </c>
      <c r="C1" s="16"/>
      <c r="D1" s="15" t="s">
        <v>38</v>
      </c>
      <c r="E1" s="19"/>
      <c r="F1" s="16"/>
      <c r="G1" s="12" t="s">
        <v>344</v>
      </c>
      <c r="H1" s="12"/>
      <c r="I1" s="12"/>
      <c r="J1" s="12"/>
    </row>
    <row r="2" spans="1:21" ht="22.5" x14ac:dyDescent="0.2">
      <c r="A2" s="14" t="s">
        <v>43</v>
      </c>
      <c r="B2" s="17" t="s">
        <v>43</v>
      </c>
      <c r="C2" s="18" t="s">
        <v>202</v>
      </c>
      <c r="D2" s="17" t="s">
        <v>43</v>
      </c>
      <c r="E2" s="20" t="s">
        <v>202</v>
      </c>
      <c r="F2" s="20" t="s">
        <v>238</v>
      </c>
      <c r="G2" s="21" t="s">
        <v>43</v>
      </c>
      <c r="H2" s="22" t="s">
        <v>202</v>
      </c>
      <c r="I2" s="22" t="s">
        <v>238</v>
      </c>
      <c r="J2" s="23" t="s">
        <v>774</v>
      </c>
      <c r="L2" s="4" t="s">
        <v>702</v>
      </c>
      <c r="N2" s="4" t="s">
        <v>705</v>
      </c>
      <c r="P2" s="4" t="s">
        <v>821</v>
      </c>
      <c r="Q2" s="25" t="s">
        <v>220</v>
      </c>
      <c r="S2" s="4" t="s">
        <v>560</v>
      </c>
      <c r="U2" s="4" t="s">
        <v>605</v>
      </c>
    </row>
    <row r="3" spans="1:21" x14ac:dyDescent="0.2">
      <c r="A3" s="5" t="s">
        <v>70</v>
      </c>
      <c r="B3" s="5" t="s">
        <v>70</v>
      </c>
      <c r="C3" s="5" t="s">
        <v>390</v>
      </c>
      <c r="D3" s="5" t="s">
        <v>70</v>
      </c>
      <c r="E3" s="5" t="s">
        <v>390</v>
      </c>
      <c r="F3" s="5" t="s">
        <v>150</v>
      </c>
      <c r="G3" s="6" t="s">
        <v>125</v>
      </c>
      <c r="H3" s="6" t="s">
        <v>326</v>
      </c>
      <c r="I3" s="6" t="s">
        <v>642</v>
      </c>
      <c r="J3" s="6" t="s">
        <v>642</v>
      </c>
      <c r="L3" s="7" t="s">
        <v>74</v>
      </c>
      <c r="N3" s="5" t="s">
        <v>392</v>
      </c>
      <c r="P3" s="5" t="s">
        <v>236</v>
      </c>
      <c r="Q3" s="5" t="s">
        <v>772</v>
      </c>
      <c r="S3" s="11" t="s">
        <v>809</v>
      </c>
      <c r="U3" s="5" t="s">
        <v>581</v>
      </c>
    </row>
    <row r="4" spans="1:21" x14ac:dyDescent="0.2">
      <c r="A4" s="5" t="s">
        <v>357</v>
      </c>
      <c r="B4" s="5" t="s">
        <v>70</v>
      </c>
      <c r="C4" s="5" t="s">
        <v>585</v>
      </c>
      <c r="D4" s="5" t="s">
        <v>70</v>
      </c>
      <c r="E4" s="5" t="s">
        <v>390</v>
      </c>
      <c r="F4" s="5" t="s">
        <v>182</v>
      </c>
      <c r="G4" s="6" t="s">
        <v>125</v>
      </c>
      <c r="H4" s="6" t="s">
        <v>326</v>
      </c>
      <c r="I4" s="6" t="s">
        <v>642</v>
      </c>
      <c r="J4" s="6" t="s">
        <v>28</v>
      </c>
      <c r="L4" s="7" t="s">
        <v>792</v>
      </c>
      <c r="N4" s="5" t="s">
        <v>267</v>
      </c>
      <c r="P4" s="5" t="s">
        <v>210</v>
      </c>
      <c r="Q4" s="5" t="s">
        <v>461</v>
      </c>
      <c r="S4" s="11" t="s">
        <v>298</v>
      </c>
    </row>
    <row r="5" spans="1:21" x14ac:dyDescent="0.2">
      <c r="A5" s="5" t="s">
        <v>125</v>
      </c>
      <c r="B5" s="5" t="s">
        <v>70</v>
      </c>
      <c r="C5" s="5" t="s">
        <v>808</v>
      </c>
      <c r="D5" s="5" t="s">
        <v>70</v>
      </c>
      <c r="E5" s="5" t="s">
        <v>390</v>
      </c>
      <c r="F5" s="5" t="s">
        <v>115</v>
      </c>
      <c r="G5" s="6" t="s">
        <v>125</v>
      </c>
      <c r="H5" s="6" t="s">
        <v>326</v>
      </c>
      <c r="I5" s="6" t="s">
        <v>642</v>
      </c>
      <c r="J5" s="6" t="s">
        <v>100</v>
      </c>
      <c r="L5" s="7" t="s">
        <v>458</v>
      </c>
      <c r="N5" s="5" t="s">
        <v>810</v>
      </c>
      <c r="P5" s="5" t="s">
        <v>759</v>
      </c>
      <c r="Q5" s="5" t="s">
        <v>680</v>
      </c>
      <c r="S5" s="11" t="s">
        <v>722</v>
      </c>
    </row>
    <row r="6" spans="1:21" x14ac:dyDescent="0.2">
      <c r="A6" s="5" t="s">
        <v>55</v>
      </c>
      <c r="B6" s="5" t="s">
        <v>357</v>
      </c>
      <c r="C6" s="5" t="s">
        <v>826</v>
      </c>
      <c r="D6" s="5" t="s">
        <v>70</v>
      </c>
      <c r="E6" s="5" t="s">
        <v>390</v>
      </c>
      <c r="F6" s="5" t="s">
        <v>67</v>
      </c>
      <c r="G6" s="6" t="s">
        <v>125</v>
      </c>
      <c r="H6" s="6" t="s">
        <v>326</v>
      </c>
      <c r="I6" s="6" t="s">
        <v>98</v>
      </c>
      <c r="J6" s="6" t="s">
        <v>98</v>
      </c>
      <c r="L6" s="5" t="s">
        <v>160</v>
      </c>
      <c r="P6" s="5" t="s">
        <v>536</v>
      </c>
      <c r="Q6" s="5" t="s">
        <v>467</v>
      </c>
      <c r="S6" s="11" t="s">
        <v>272</v>
      </c>
    </row>
    <row r="7" spans="1:21" x14ac:dyDescent="0.2">
      <c r="A7" s="5" t="s">
        <v>836</v>
      </c>
      <c r="B7" s="5" t="s">
        <v>357</v>
      </c>
      <c r="C7" s="5" t="s">
        <v>101</v>
      </c>
      <c r="D7" s="5" t="s">
        <v>70</v>
      </c>
      <c r="E7" s="5" t="s">
        <v>390</v>
      </c>
      <c r="F7" s="5" t="s">
        <v>404</v>
      </c>
      <c r="G7" s="6" t="s">
        <v>125</v>
      </c>
      <c r="H7" s="6" t="s">
        <v>326</v>
      </c>
      <c r="I7" s="6" t="s">
        <v>279</v>
      </c>
      <c r="J7" s="6" t="s">
        <v>279</v>
      </c>
      <c r="L7" s="5" t="s">
        <v>318</v>
      </c>
      <c r="P7" s="5" t="s">
        <v>358</v>
      </c>
      <c r="Q7" s="5" t="s">
        <v>14</v>
      </c>
      <c r="S7" s="11" t="s">
        <v>422</v>
      </c>
    </row>
    <row r="8" spans="1:21" x14ac:dyDescent="0.2">
      <c r="A8" s="5" t="s">
        <v>263</v>
      </c>
      <c r="B8" s="5" t="s">
        <v>357</v>
      </c>
      <c r="C8" s="5" t="s">
        <v>261</v>
      </c>
      <c r="D8" s="5" t="s">
        <v>70</v>
      </c>
      <c r="E8" s="5" t="s">
        <v>390</v>
      </c>
      <c r="F8" s="5" t="s">
        <v>628</v>
      </c>
      <c r="G8" s="6" t="s">
        <v>125</v>
      </c>
      <c r="H8" s="6" t="s">
        <v>326</v>
      </c>
      <c r="I8" s="6" t="s">
        <v>279</v>
      </c>
      <c r="J8" s="6" t="s">
        <v>169</v>
      </c>
      <c r="L8" s="5" t="s">
        <v>183</v>
      </c>
      <c r="P8" s="5" t="s">
        <v>448</v>
      </c>
      <c r="Q8" s="5" t="s">
        <v>431</v>
      </c>
      <c r="S8" s="11"/>
    </row>
    <row r="9" spans="1:21" x14ac:dyDescent="0.2">
      <c r="A9" s="5" t="s">
        <v>579</v>
      </c>
      <c r="B9" s="5" t="s">
        <v>125</v>
      </c>
      <c r="C9" s="5" t="s">
        <v>326</v>
      </c>
      <c r="D9" s="5" t="s">
        <v>70</v>
      </c>
      <c r="E9" s="5" t="s">
        <v>390</v>
      </c>
      <c r="F9" s="5" t="s">
        <v>653</v>
      </c>
      <c r="G9" s="6" t="s">
        <v>125</v>
      </c>
      <c r="H9" s="6" t="s">
        <v>326</v>
      </c>
      <c r="I9" s="6" t="s">
        <v>305</v>
      </c>
      <c r="J9" s="6" t="s">
        <v>305</v>
      </c>
      <c r="L9" s="7" t="s">
        <v>313</v>
      </c>
      <c r="P9" s="5" t="s">
        <v>782</v>
      </c>
      <c r="Q9" s="5" t="s">
        <v>76</v>
      </c>
      <c r="S9" s="9"/>
    </row>
    <row r="10" spans="1:21" x14ac:dyDescent="0.2">
      <c r="A10" s="5" t="s">
        <v>798</v>
      </c>
      <c r="B10" s="5" t="s">
        <v>125</v>
      </c>
      <c r="C10" s="5" t="s">
        <v>482</v>
      </c>
      <c r="D10" s="5" t="s">
        <v>70</v>
      </c>
      <c r="E10" s="5" t="s">
        <v>390</v>
      </c>
      <c r="F10" s="5" t="s">
        <v>402</v>
      </c>
      <c r="G10" s="6" t="s">
        <v>125</v>
      </c>
      <c r="H10" s="6" t="s">
        <v>326</v>
      </c>
      <c r="I10" s="6" t="s">
        <v>206</v>
      </c>
      <c r="J10" s="6" t="s">
        <v>206</v>
      </c>
      <c r="L10" s="5" t="s">
        <v>320</v>
      </c>
      <c r="P10" s="5" t="s">
        <v>287</v>
      </c>
      <c r="Q10" s="5" t="s">
        <v>48</v>
      </c>
    </row>
    <row r="11" spans="1:21" ht="22.5" x14ac:dyDescent="0.2">
      <c r="A11" s="5" t="s">
        <v>749</v>
      </c>
      <c r="B11" s="5" t="s">
        <v>125</v>
      </c>
      <c r="C11" s="5" t="s">
        <v>109</v>
      </c>
      <c r="D11" s="5" t="s">
        <v>70</v>
      </c>
      <c r="E11" s="5" t="s">
        <v>390</v>
      </c>
      <c r="F11" s="5" t="s">
        <v>699</v>
      </c>
      <c r="G11" s="6" t="s">
        <v>125</v>
      </c>
      <c r="H11" s="6" t="s">
        <v>326</v>
      </c>
      <c r="I11" s="6" t="s">
        <v>145</v>
      </c>
      <c r="J11" s="6" t="s">
        <v>637</v>
      </c>
      <c r="L11" s="5" t="s">
        <v>521</v>
      </c>
      <c r="P11" s="5" t="s">
        <v>240</v>
      </c>
      <c r="Q11" s="5" t="s">
        <v>428</v>
      </c>
    </row>
    <row r="12" spans="1:21" ht="22.5" x14ac:dyDescent="0.2">
      <c r="A12" s="5" t="s">
        <v>122</v>
      </c>
      <c r="B12" s="5" t="s">
        <v>125</v>
      </c>
      <c r="C12" s="5" t="s">
        <v>235</v>
      </c>
      <c r="D12" s="5" t="s">
        <v>70</v>
      </c>
      <c r="E12" s="5" t="s">
        <v>585</v>
      </c>
      <c r="F12" s="5" t="s">
        <v>795</v>
      </c>
      <c r="G12" s="6" t="s">
        <v>125</v>
      </c>
      <c r="H12" s="6" t="s">
        <v>326</v>
      </c>
      <c r="I12" s="6" t="s">
        <v>145</v>
      </c>
      <c r="J12" s="6" t="s">
        <v>779</v>
      </c>
      <c r="L12" s="5" t="s">
        <v>691</v>
      </c>
      <c r="P12" s="5" t="s">
        <v>157</v>
      </c>
      <c r="Q12" s="5" t="s">
        <v>664</v>
      </c>
      <c r="S12" s="24"/>
    </row>
    <row r="13" spans="1:21" ht="22.5" x14ac:dyDescent="0.2">
      <c r="B13" s="5" t="s">
        <v>55</v>
      </c>
      <c r="C13" s="5" t="s">
        <v>529</v>
      </c>
      <c r="D13" s="5" t="s">
        <v>70</v>
      </c>
      <c r="E13" s="5" t="s">
        <v>585</v>
      </c>
      <c r="F13" s="5" t="s">
        <v>839</v>
      </c>
      <c r="G13" s="6" t="s">
        <v>125</v>
      </c>
      <c r="H13" s="6" t="s">
        <v>326</v>
      </c>
      <c r="I13" s="6" t="s">
        <v>145</v>
      </c>
      <c r="J13" s="6" t="s">
        <v>763</v>
      </c>
      <c r="L13" s="7" t="s">
        <v>95</v>
      </c>
      <c r="P13" s="5" t="s">
        <v>155</v>
      </c>
      <c r="Q13" s="5" t="s">
        <v>199</v>
      </c>
      <c r="S13" s="24"/>
    </row>
    <row r="14" spans="1:21" ht="22.5" x14ac:dyDescent="0.2">
      <c r="B14" s="5" t="s">
        <v>55</v>
      </c>
      <c r="C14" s="5" t="s">
        <v>471</v>
      </c>
      <c r="D14" s="5" t="s">
        <v>70</v>
      </c>
      <c r="E14" s="5" t="s">
        <v>585</v>
      </c>
      <c r="F14" s="5" t="s">
        <v>19</v>
      </c>
      <c r="G14" s="6" t="s">
        <v>125</v>
      </c>
      <c r="H14" s="6" t="s">
        <v>326</v>
      </c>
      <c r="I14" s="6" t="s">
        <v>145</v>
      </c>
      <c r="J14" s="6" t="s">
        <v>770</v>
      </c>
      <c r="L14" s="7" t="s">
        <v>812</v>
      </c>
      <c r="P14" s="5" t="s">
        <v>716</v>
      </c>
      <c r="Q14" s="5" t="s">
        <v>228</v>
      </c>
    </row>
    <row r="15" spans="1:21" ht="22.5" x14ac:dyDescent="0.2">
      <c r="B15" s="5" t="s">
        <v>55</v>
      </c>
      <c r="C15" s="5" t="s">
        <v>645</v>
      </c>
      <c r="D15" s="5" t="s">
        <v>70</v>
      </c>
      <c r="E15" s="5" t="s">
        <v>585</v>
      </c>
      <c r="F15" s="5" t="s">
        <v>822</v>
      </c>
      <c r="G15" s="6" t="s">
        <v>125</v>
      </c>
      <c r="H15" s="6" t="s">
        <v>326</v>
      </c>
      <c r="I15" s="6" t="s">
        <v>145</v>
      </c>
      <c r="J15" s="6" t="s">
        <v>145</v>
      </c>
      <c r="L15" s="7" t="s">
        <v>419</v>
      </c>
      <c r="P15" s="5" t="s">
        <v>444</v>
      </c>
      <c r="Q15" s="5" t="s">
        <v>329</v>
      </c>
    </row>
    <row r="16" spans="1:21" x14ac:dyDescent="0.2">
      <c r="B16" s="5" t="s">
        <v>55</v>
      </c>
      <c r="C16" s="5" t="s">
        <v>551</v>
      </c>
      <c r="D16" s="5" t="s">
        <v>70</v>
      </c>
      <c r="E16" s="5" t="s">
        <v>585</v>
      </c>
      <c r="F16" s="5" t="s">
        <v>35</v>
      </c>
      <c r="G16" s="6" t="s">
        <v>125</v>
      </c>
      <c r="H16" s="6" t="s">
        <v>326</v>
      </c>
      <c r="I16" s="6" t="s">
        <v>50</v>
      </c>
      <c r="J16" s="6" t="s">
        <v>599</v>
      </c>
      <c r="L16" s="7" t="s">
        <v>612</v>
      </c>
      <c r="P16" s="5" t="s">
        <v>208</v>
      </c>
      <c r="Q16" s="5" t="s">
        <v>627</v>
      </c>
    </row>
    <row r="17" spans="2:17" x14ac:dyDescent="0.2">
      <c r="B17" s="5" t="s">
        <v>836</v>
      </c>
      <c r="C17" s="5" t="s">
        <v>694</v>
      </c>
      <c r="D17" s="5" t="s">
        <v>70</v>
      </c>
      <c r="E17" s="5" t="s">
        <v>585</v>
      </c>
      <c r="F17" s="5" t="s">
        <v>170</v>
      </c>
      <c r="G17" s="6" t="s">
        <v>125</v>
      </c>
      <c r="H17" s="6" t="s">
        <v>326</v>
      </c>
      <c r="I17" s="6" t="s">
        <v>50</v>
      </c>
      <c r="J17" s="6" t="s">
        <v>753</v>
      </c>
      <c r="L17" s="7" t="s">
        <v>5</v>
      </c>
      <c r="P17" s="5" t="s">
        <v>754</v>
      </c>
      <c r="Q17" s="5" t="s">
        <v>282</v>
      </c>
    </row>
    <row r="18" spans="2:17" x14ac:dyDescent="0.2">
      <c r="B18" s="5" t="s">
        <v>836</v>
      </c>
      <c r="C18" s="5" t="s">
        <v>222</v>
      </c>
      <c r="D18" s="5" t="s">
        <v>70</v>
      </c>
      <c r="E18" s="5" t="s">
        <v>585</v>
      </c>
      <c r="F18" s="5" t="s">
        <v>85</v>
      </c>
      <c r="G18" s="6" t="s">
        <v>125</v>
      </c>
      <c r="H18" s="6" t="s">
        <v>326</v>
      </c>
      <c r="I18" s="6" t="s">
        <v>50</v>
      </c>
      <c r="J18" s="6" t="s">
        <v>140</v>
      </c>
      <c r="P18" s="5" t="s">
        <v>64</v>
      </c>
      <c r="Q18" s="5" t="s">
        <v>717</v>
      </c>
    </row>
    <row r="19" spans="2:17" x14ac:dyDescent="0.2">
      <c r="B19" s="5" t="s">
        <v>836</v>
      </c>
      <c r="C19" s="5" t="s">
        <v>81</v>
      </c>
      <c r="D19" s="5" t="s">
        <v>70</v>
      </c>
      <c r="E19" s="5" t="s">
        <v>585</v>
      </c>
      <c r="F19" s="5" t="s">
        <v>319</v>
      </c>
      <c r="G19" s="6" t="s">
        <v>125</v>
      </c>
      <c r="H19" s="6" t="s">
        <v>326</v>
      </c>
      <c r="I19" s="6" t="s">
        <v>50</v>
      </c>
      <c r="J19" s="6" t="s">
        <v>316</v>
      </c>
      <c r="P19" s="5" t="s">
        <v>156</v>
      </c>
      <c r="Q19" s="5" t="s">
        <v>791</v>
      </c>
    </row>
    <row r="20" spans="2:17" x14ac:dyDescent="0.2">
      <c r="B20" s="5" t="s">
        <v>836</v>
      </c>
      <c r="C20" s="5" t="s">
        <v>291</v>
      </c>
      <c r="D20" s="5" t="s">
        <v>70</v>
      </c>
      <c r="E20" s="5" t="s">
        <v>585</v>
      </c>
      <c r="F20" s="5" t="s">
        <v>63</v>
      </c>
      <c r="G20" s="6" t="s">
        <v>125</v>
      </c>
      <c r="H20" s="6" t="s">
        <v>326</v>
      </c>
      <c r="I20" s="6" t="s">
        <v>50</v>
      </c>
      <c r="J20" s="6" t="s">
        <v>50</v>
      </c>
      <c r="P20" s="5" t="s">
        <v>603</v>
      </c>
      <c r="Q20" s="5" t="s">
        <v>824</v>
      </c>
    </row>
    <row r="21" spans="2:17" ht="22.5" x14ac:dyDescent="0.2">
      <c r="B21" s="5" t="s">
        <v>263</v>
      </c>
      <c r="C21" s="5" t="s">
        <v>107</v>
      </c>
      <c r="D21" s="5" t="s">
        <v>70</v>
      </c>
      <c r="E21" s="5" t="s">
        <v>808</v>
      </c>
      <c r="F21" s="5" t="s">
        <v>211</v>
      </c>
      <c r="G21" s="6" t="s">
        <v>125</v>
      </c>
      <c r="H21" s="6" t="s">
        <v>482</v>
      </c>
      <c r="I21" s="6" t="s">
        <v>516</v>
      </c>
      <c r="J21" s="6" t="s">
        <v>233</v>
      </c>
      <c r="P21" s="5" t="s">
        <v>11</v>
      </c>
      <c r="Q21" s="5" t="s">
        <v>621</v>
      </c>
    </row>
    <row r="22" spans="2:17" ht="22.5" x14ac:dyDescent="0.2">
      <c r="B22" s="5" t="s">
        <v>263</v>
      </c>
      <c r="C22" s="5" t="s">
        <v>248</v>
      </c>
      <c r="D22" s="5" t="s">
        <v>70</v>
      </c>
      <c r="E22" s="5" t="s">
        <v>808</v>
      </c>
      <c r="F22" s="5" t="s">
        <v>1</v>
      </c>
      <c r="G22" s="6" t="s">
        <v>125</v>
      </c>
      <c r="H22" s="6" t="s">
        <v>482</v>
      </c>
      <c r="I22" s="6" t="s">
        <v>516</v>
      </c>
      <c r="J22" s="6" t="s">
        <v>516</v>
      </c>
      <c r="P22" s="5" t="s">
        <v>188</v>
      </c>
      <c r="Q22" s="5" t="s">
        <v>799</v>
      </c>
    </row>
    <row r="23" spans="2:17" ht="22.5" x14ac:dyDescent="0.2">
      <c r="B23" s="5" t="s">
        <v>263</v>
      </c>
      <c r="C23" s="5" t="s">
        <v>857</v>
      </c>
      <c r="D23" s="5" t="s">
        <v>70</v>
      </c>
      <c r="E23" s="5" t="s">
        <v>808</v>
      </c>
      <c r="F23" s="5" t="s">
        <v>622</v>
      </c>
      <c r="G23" s="6" t="s">
        <v>125</v>
      </c>
      <c r="H23" s="6" t="s">
        <v>482</v>
      </c>
      <c r="I23" s="6" t="s">
        <v>225</v>
      </c>
      <c r="J23" s="6" t="s">
        <v>768</v>
      </c>
      <c r="P23" s="5" t="s">
        <v>42</v>
      </c>
      <c r="Q23" s="5" t="s">
        <v>452</v>
      </c>
    </row>
    <row r="24" spans="2:17" ht="22.5" x14ac:dyDescent="0.2">
      <c r="B24" s="5" t="s">
        <v>263</v>
      </c>
      <c r="C24" s="5" t="s">
        <v>592</v>
      </c>
      <c r="D24" s="5" t="s">
        <v>70</v>
      </c>
      <c r="E24" s="5" t="s">
        <v>808</v>
      </c>
      <c r="F24" s="5" t="s">
        <v>131</v>
      </c>
      <c r="G24" s="6" t="s">
        <v>125</v>
      </c>
      <c r="H24" s="6" t="s">
        <v>482</v>
      </c>
      <c r="I24" s="6" t="s">
        <v>225</v>
      </c>
      <c r="J24" s="6" t="s">
        <v>225</v>
      </c>
      <c r="P24" s="5" t="s">
        <v>330</v>
      </c>
      <c r="Q24" s="5" t="s">
        <v>300</v>
      </c>
    </row>
    <row r="25" spans="2:17" ht="22.5" x14ac:dyDescent="0.2">
      <c r="B25" s="5" t="s">
        <v>579</v>
      </c>
      <c r="C25" s="5" t="s">
        <v>136</v>
      </c>
      <c r="D25" s="5" t="s">
        <v>357</v>
      </c>
      <c r="E25" s="5" t="s">
        <v>826</v>
      </c>
      <c r="F25" s="5" t="s">
        <v>41</v>
      </c>
      <c r="G25" s="6" t="s">
        <v>125</v>
      </c>
      <c r="H25" s="6" t="s">
        <v>482</v>
      </c>
      <c r="I25" s="6" t="s">
        <v>700</v>
      </c>
      <c r="J25" s="6" t="s">
        <v>700</v>
      </c>
      <c r="P25" s="5" t="s">
        <v>209</v>
      </c>
      <c r="Q25" s="5" t="s">
        <v>719</v>
      </c>
    </row>
    <row r="26" spans="2:17" ht="22.5" x14ac:dyDescent="0.2">
      <c r="B26" s="5" t="s">
        <v>579</v>
      </c>
      <c r="C26" s="5" t="s">
        <v>94</v>
      </c>
      <c r="D26" s="5" t="s">
        <v>357</v>
      </c>
      <c r="E26" s="5" t="s">
        <v>826</v>
      </c>
      <c r="F26" s="5" t="s">
        <v>853</v>
      </c>
      <c r="G26" s="6" t="s">
        <v>125</v>
      </c>
      <c r="H26" s="6" t="s">
        <v>109</v>
      </c>
      <c r="I26" s="6" t="s">
        <v>487</v>
      </c>
      <c r="J26" s="6" t="s">
        <v>36</v>
      </c>
      <c r="P26" s="5" t="s">
        <v>252</v>
      </c>
      <c r="Q26" s="5" t="s">
        <v>62</v>
      </c>
    </row>
    <row r="27" spans="2:17" ht="22.5" x14ac:dyDescent="0.2">
      <c r="B27" s="5" t="s">
        <v>798</v>
      </c>
      <c r="C27" s="5" t="s">
        <v>343</v>
      </c>
      <c r="D27" s="5" t="s">
        <v>357</v>
      </c>
      <c r="E27" s="5" t="s">
        <v>826</v>
      </c>
      <c r="F27" s="5" t="s">
        <v>264</v>
      </c>
      <c r="G27" s="6" t="s">
        <v>125</v>
      </c>
      <c r="H27" s="6" t="s">
        <v>109</v>
      </c>
      <c r="I27" s="6" t="s">
        <v>487</v>
      </c>
      <c r="J27" s="6" t="s">
        <v>487</v>
      </c>
      <c r="P27" s="5" t="s">
        <v>409</v>
      </c>
      <c r="Q27" s="5" t="s">
        <v>219</v>
      </c>
    </row>
    <row r="28" spans="2:17" ht="22.5" x14ac:dyDescent="0.2">
      <c r="B28" s="5" t="s">
        <v>798</v>
      </c>
      <c r="C28" s="5" t="s">
        <v>20</v>
      </c>
      <c r="D28" s="5" t="s">
        <v>357</v>
      </c>
      <c r="E28" s="5" t="s">
        <v>826</v>
      </c>
      <c r="F28" s="5" t="s">
        <v>841</v>
      </c>
      <c r="G28" s="6" t="s">
        <v>125</v>
      </c>
      <c r="H28" s="6" t="s">
        <v>109</v>
      </c>
      <c r="I28" s="6" t="s">
        <v>487</v>
      </c>
      <c r="J28" s="6" t="s">
        <v>262</v>
      </c>
      <c r="P28" s="5" t="s">
        <v>607</v>
      </c>
      <c r="Q28" s="5" t="s">
        <v>295</v>
      </c>
    </row>
    <row r="29" spans="2:17" ht="22.5" x14ac:dyDescent="0.2">
      <c r="B29" s="5" t="s">
        <v>798</v>
      </c>
      <c r="C29" s="5" t="s">
        <v>481</v>
      </c>
      <c r="D29" s="5" t="s">
        <v>357</v>
      </c>
      <c r="E29" s="5" t="s">
        <v>101</v>
      </c>
      <c r="F29" s="5" t="s">
        <v>549</v>
      </c>
      <c r="G29" s="6" t="s">
        <v>125</v>
      </c>
      <c r="H29" s="6" t="s">
        <v>109</v>
      </c>
      <c r="I29" s="6" t="s">
        <v>124</v>
      </c>
      <c r="J29" s="6" t="s">
        <v>124</v>
      </c>
      <c r="P29" s="5" t="s">
        <v>224</v>
      </c>
      <c r="Q29" s="5" t="s">
        <v>203</v>
      </c>
    </row>
    <row r="30" spans="2:17" ht="22.5" x14ac:dyDescent="0.2">
      <c r="B30" s="5" t="s">
        <v>749</v>
      </c>
      <c r="C30" s="5" t="s">
        <v>432</v>
      </c>
      <c r="D30" s="5" t="s">
        <v>357</v>
      </c>
      <c r="E30" s="5" t="s">
        <v>101</v>
      </c>
      <c r="F30" s="5" t="s">
        <v>257</v>
      </c>
      <c r="G30" s="6" t="s">
        <v>125</v>
      </c>
      <c r="H30" s="6" t="s">
        <v>109</v>
      </c>
      <c r="I30" s="6" t="s">
        <v>124</v>
      </c>
      <c r="J30" s="6" t="s">
        <v>706</v>
      </c>
      <c r="P30" s="5" t="s">
        <v>537</v>
      </c>
      <c r="Q30" s="5" t="s">
        <v>652</v>
      </c>
    </row>
    <row r="31" spans="2:17" ht="22.5" x14ac:dyDescent="0.2">
      <c r="B31" s="5" t="s">
        <v>749</v>
      </c>
      <c r="C31" s="5" t="s">
        <v>750</v>
      </c>
      <c r="D31" s="5" t="s">
        <v>357</v>
      </c>
      <c r="E31" s="5" t="s">
        <v>101</v>
      </c>
      <c r="F31" s="5" t="s">
        <v>468</v>
      </c>
      <c r="G31" s="6" t="s">
        <v>125</v>
      </c>
      <c r="H31" s="6" t="s">
        <v>109</v>
      </c>
      <c r="I31" s="6" t="s">
        <v>494</v>
      </c>
      <c r="J31" s="6" t="s">
        <v>134</v>
      </c>
      <c r="P31" s="5" t="s">
        <v>215</v>
      </c>
      <c r="Q31" s="5" t="s">
        <v>159</v>
      </c>
    </row>
    <row r="32" spans="2:17" ht="22.5" x14ac:dyDescent="0.2">
      <c r="B32" s="5" t="s">
        <v>749</v>
      </c>
      <c r="C32" s="5" t="s">
        <v>381</v>
      </c>
      <c r="D32" s="5" t="s">
        <v>357</v>
      </c>
      <c r="E32" s="5" t="s">
        <v>261</v>
      </c>
      <c r="F32" s="5" t="s">
        <v>73</v>
      </c>
      <c r="G32" s="6" t="s">
        <v>125</v>
      </c>
      <c r="H32" s="6" t="s">
        <v>109</v>
      </c>
      <c r="I32" s="6" t="s">
        <v>494</v>
      </c>
      <c r="J32" s="6" t="s">
        <v>189</v>
      </c>
      <c r="P32" s="5" t="s">
        <v>216</v>
      </c>
      <c r="Q32" s="5" t="s">
        <v>561</v>
      </c>
    </row>
    <row r="33" spans="2:17" ht="22.5" x14ac:dyDescent="0.2">
      <c r="B33" s="5" t="s">
        <v>122</v>
      </c>
      <c r="C33" s="5" t="s">
        <v>507</v>
      </c>
      <c r="D33" s="5" t="s">
        <v>357</v>
      </c>
      <c r="E33" s="5" t="s">
        <v>261</v>
      </c>
      <c r="F33" s="5" t="s">
        <v>0</v>
      </c>
      <c r="G33" s="6" t="s">
        <v>125</v>
      </c>
      <c r="H33" s="6" t="s">
        <v>109</v>
      </c>
      <c r="I33" s="6" t="s">
        <v>494</v>
      </c>
      <c r="J33" s="6" t="s">
        <v>494</v>
      </c>
      <c r="P33" s="5" t="s">
        <v>601</v>
      </c>
      <c r="Q33" s="5" t="s">
        <v>336</v>
      </c>
    </row>
    <row r="34" spans="2:17" ht="22.5" x14ac:dyDescent="0.2">
      <c r="B34" s="5" t="s">
        <v>122</v>
      </c>
      <c r="C34" s="5" t="s">
        <v>670</v>
      </c>
      <c r="D34" s="5" t="s">
        <v>357</v>
      </c>
      <c r="E34" s="5" t="s">
        <v>261</v>
      </c>
      <c r="F34" s="5" t="s">
        <v>437</v>
      </c>
      <c r="G34" s="6" t="s">
        <v>125</v>
      </c>
      <c r="H34" s="6" t="s">
        <v>109</v>
      </c>
      <c r="I34" s="6" t="s">
        <v>494</v>
      </c>
      <c r="J34" s="6" t="s">
        <v>647</v>
      </c>
      <c r="P34" s="5" t="s">
        <v>493</v>
      </c>
      <c r="Q34" s="5" t="s">
        <v>336</v>
      </c>
    </row>
    <row r="35" spans="2:17" ht="22.5" x14ac:dyDescent="0.2">
      <c r="D35" s="5" t="s">
        <v>357</v>
      </c>
      <c r="E35" s="5" t="s">
        <v>261</v>
      </c>
      <c r="F35" s="5" t="s">
        <v>644</v>
      </c>
      <c r="G35" s="6" t="s">
        <v>125</v>
      </c>
      <c r="H35" s="6" t="s">
        <v>109</v>
      </c>
      <c r="I35" s="6" t="s">
        <v>714</v>
      </c>
      <c r="J35" s="6" t="s">
        <v>714</v>
      </c>
      <c r="P35" s="5" t="s">
        <v>760</v>
      </c>
      <c r="Q35" s="5" t="s">
        <v>69</v>
      </c>
    </row>
    <row r="36" spans="2:17" x14ac:dyDescent="0.2">
      <c r="D36" s="5" t="s">
        <v>125</v>
      </c>
      <c r="E36" s="5" t="s">
        <v>326</v>
      </c>
      <c r="F36" s="5" t="s">
        <v>145</v>
      </c>
      <c r="G36" s="6" t="s">
        <v>125</v>
      </c>
      <c r="H36" s="6" t="s">
        <v>235</v>
      </c>
      <c r="I36" s="6" t="s">
        <v>606</v>
      </c>
      <c r="J36" s="6" t="s">
        <v>606</v>
      </c>
      <c r="P36" s="5" t="s">
        <v>803</v>
      </c>
      <c r="Q36" s="5" t="s">
        <v>508</v>
      </c>
    </row>
    <row r="37" spans="2:17" x14ac:dyDescent="0.2">
      <c r="D37" s="5" t="s">
        <v>125</v>
      </c>
      <c r="E37" s="5" t="s">
        <v>326</v>
      </c>
      <c r="F37" s="5" t="s">
        <v>642</v>
      </c>
      <c r="G37" s="6" t="s">
        <v>125</v>
      </c>
      <c r="H37" s="6" t="s">
        <v>235</v>
      </c>
      <c r="I37" s="6" t="s">
        <v>361</v>
      </c>
      <c r="J37" s="6" t="s">
        <v>361</v>
      </c>
      <c r="P37" s="5" t="s">
        <v>153</v>
      </c>
      <c r="Q37" s="5" t="s">
        <v>71</v>
      </c>
    </row>
    <row r="38" spans="2:17" ht="22.5" x14ac:dyDescent="0.2">
      <c r="D38" s="5" t="s">
        <v>125</v>
      </c>
      <c r="E38" s="5" t="s">
        <v>326</v>
      </c>
      <c r="F38" s="5" t="s">
        <v>98</v>
      </c>
      <c r="G38" s="6" t="s">
        <v>125</v>
      </c>
      <c r="H38" s="6" t="s">
        <v>235</v>
      </c>
      <c r="I38" s="6" t="s">
        <v>57</v>
      </c>
      <c r="J38" s="6" t="s">
        <v>347</v>
      </c>
      <c r="P38" s="5" t="s">
        <v>610</v>
      </c>
      <c r="Q38" s="5" t="s">
        <v>383</v>
      </c>
    </row>
    <row r="39" spans="2:17" ht="22.5" x14ac:dyDescent="0.2">
      <c r="D39" s="5" t="s">
        <v>125</v>
      </c>
      <c r="E39" s="5" t="s">
        <v>326</v>
      </c>
      <c r="F39" s="5" t="s">
        <v>279</v>
      </c>
      <c r="G39" s="6" t="s">
        <v>125</v>
      </c>
      <c r="H39" s="6" t="s">
        <v>235</v>
      </c>
      <c r="I39" s="6" t="s">
        <v>57</v>
      </c>
      <c r="J39" s="6" t="s">
        <v>341</v>
      </c>
      <c r="P39" s="5" t="s">
        <v>586</v>
      </c>
      <c r="Q39" s="5" t="s">
        <v>26</v>
      </c>
    </row>
    <row r="40" spans="2:17" ht="22.5" x14ac:dyDescent="0.2">
      <c r="D40" s="5" t="s">
        <v>125</v>
      </c>
      <c r="E40" s="5" t="s">
        <v>326</v>
      </c>
      <c r="F40" s="5" t="s">
        <v>206</v>
      </c>
      <c r="G40" s="6" t="s">
        <v>125</v>
      </c>
      <c r="H40" s="6" t="s">
        <v>235</v>
      </c>
      <c r="I40" s="6" t="s">
        <v>57</v>
      </c>
      <c r="J40" s="6" t="s">
        <v>828</v>
      </c>
      <c r="P40" s="5" t="s">
        <v>174</v>
      </c>
      <c r="Q40" s="5" t="s">
        <v>655</v>
      </c>
    </row>
    <row r="41" spans="2:17" ht="22.5" x14ac:dyDescent="0.2">
      <c r="D41" s="5" t="s">
        <v>125</v>
      </c>
      <c r="E41" s="5" t="s">
        <v>326</v>
      </c>
      <c r="F41" s="5" t="s">
        <v>50</v>
      </c>
      <c r="G41" s="6" t="s">
        <v>125</v>
      </c>
      <c r="H41" s="6" t="s">
        <v>235</v>
      </c>
      <c r="I41" s="6" t="s">
        <v>57</v>
      </c>
      <c r="J41" s="6" t="s">
        <v>57</v>
      </c>
      <c r="P41" s="5" t="s">
        <v>181</v>
      </c>
      <c r="Q41" s="5" t="s">
        <v>54</v>
      </c>
    </row>
    <row r="42" spans="2:17" x14ac:dyDescent="0.2">
      <c r="D42" s="5" t="s">
        <v>125</v>
      </c>
      <c r="E42" s="5" t="s">
        <v>326</v>
      </c>
      <c r="F42" s="5" t="s">
        <v>305</v>
      </c>
      <c r="G42" s="6" t="s">
        <v>55</v>
      </c>
      <c r="H42" s="6" t="s">
        <v>551</v>
      </c>
      <c r="I42" s="6" t="s">
        <v>551</v>
      </c>
      <c r="J42" s="6" t="s">
        <v>368</v>
      </c>
      <c r="P42" s="5" t="s">
        <v>178</v>
      </c>
      <c r="Q42" s="5" t="s">
        <v>376</v>
      </c>
    </row>
    <row r="43" spans="2:17" x14ac:dyDescent="0.2">
      <c r="D43" s="5" t="s">
        <v>125</v>
      </c>
      <c r="E43" s="5" t="s">
        <v>482</v>
      </c>
      <c r="F43" s="5" t="s">
        <v>516</v>
      </c>
      <c r="G43" s="6" t="s">
        <v>55</v>
      </c>
      <c r="H43" s="6" t="s">
        <v>551</v>
      </c>
      <c r="I43" s="6" t="s">
        <v>551</v>
      </c>
      <c r="J43" s="6" t="s">
        <v>551</v>
      </c>
      <c r="P43" s="5" t="s">
        <v>726</v>
      </c>
      <c r="Q43" s="5" t="s">
        <v>351</v>
      </c>
    </row>
    <row r="44" spans="2:17" x14ac:dyDescent="0.2">
      <c r="D44" s="5" t="s">
        <v>125</v>
      </c>
      <c r="E44" s="5" t="s">
        <v>482</v>
      </c>
      <c r="F44" s="5" t="s">
        <v>225</v>
      </c>
      <c r="G44" s="6" t="s">
        <v>55</v>
      </c>
      <c r="H44" s="6" t="s">
        <v>551</v>
      </c>
      <c r="I44" s="6" t="s">
        <v>852</v>
      </c>
      <c r="J44" s="6" t="s">
        <v>852</v>
      </c>
      <c r="P44" s="9"/>
      <c r="Q44" s="11"/>
    </row>
    <row r="45" spans="2:17" x14ac:dyDescent="0.2">
      <c r="D45" s="5" t="s">
        <v>125</v>
      </c>
      <c r="E45" s="5" t="s">
        <v>482</v>
      </c>
      <c r="F45" s="5" t="s">
        <v>700</v>
      </c>
      <c r="G45" s="6" t="s">
        <v>55</v>
      </c>
      <c r="H45" s="6" t="s">
        <v>551</v>
      </c>
      <c r="I45" s="6" t="s">
        <v>852</v>
      </c>
      <c r="J45" s="6" t="s">
        <v>395</v>
      </c>
      <c r="P45" s="9"/>
      <c r="Q45" s="11"/>
    </row>
    <row r="46" spans="2:17" ht="22.5" x14ac:dyDescent="0.2">
      <c r="D46" s="5" t="s">
        <v>125</v>
      </c>
      <c r="E46" s="5" t="s">
        <v>109</v>
      </c>
      <c r="F46" s="5" t="s">
        <v>494</v>
      </c>
      <c r="G46" s="6" t="s">
        <v>55</v>
      </c>
      <c r="H46" s="6" t="s">
        <v>551</v>
      </c>
      <c r="I46" s="6" t="s">
        <v>466</v>
      </c>
      <c r="J46" s="6" t="s">
        <v>548</v>
      </c>
      <c r="P46" s="9"/>
      <c r="Q46" s="11"/>
    </row>
    <row r="47" spans="2:17" ht="22.5" x14ac:dyDescent="0.2">
      <c r="D47" s="5" t="s">
        <v>125</v>
      </c>
      <c r="E47" s="5" t="s">
        <v>109</v>
      </c>
      <c r="F47" s="5" t="s">
        <v>487</v>
      </c>
      <c r="G47" s="6" t="s">
        <v>55</v>
      </c>
      <c r="H47" s="6" t="s">
        <v>551</v>
      </c>
      <c r="I47" s="6" t="s">
        <v>466</v>
      </c>
      <c r="J47" s="6" t="s">
        <v>466</v>
      </c>
      <c r="P47" s="9"/>
      <c r="Q47" s="11"/>
    </row>
    <row r="48" spans="2:17" ht="22.5" x14ac:dyDescent="0.2">
      <c r="D48" s="5" t="s">
        <v>125</v>
      </c>
      <c r="E48" s="5" t="s">
        <v>109</v>
      </c>
      <c r="F48" s="5" t="s">
        <v>124</v>
      </c>
      <c r="G48" s="6" t="s">
        <v>55</v>
      </c>
      <c r="H48" s="6" t="s">
        <v>551</v>
      </c>
      <c r="I48" s="6" t="s">
        <v>466</v>
      </c>
      <c r="J48" s="6" t="s">
        <v>61</v>
      </c>
      <c r="P48" s="9"/>
      <c r="Q48" s="11"/>
    </row>
    <row r="49" spans="4:17" x14ac:dyDescent="0.2">
      <c r="D49" s="5" t="s">
        <v>125</v>
      </c>
      <c r="E49" s="5" t="s">
        <v>109</v>
      </c>
      <c r="F49" s="5" t="s">
        <v>714</v>
      </c>
      <c r="G49" s="6" t="s">
        <v>55</v>
      </c>
      <c r="H49" s="6" t="s">
        <v>551</v>
      </c>
      <c r="I49" s="6" t="s">
        <v>34</v>
      </c>
      <c r="J49" s="6" t="s">
        <v>34</v>
      </c>
      <c r="P49" s="9"/>
      <c r="Q49" s="11"/>
    </row>
    <row r="50" spans="4:17" x14ac:dyDescent="0.2">
      <c r="D50" s="5" t="s">
        <v>125</v>
      </c>
      <c r="E50" s="5" t="s">
        <v>235</v>
      </c>
      <c r="F50" s="5" t="s">
        <v>57</v>
      </c>
      <c r="G50" s="6" t="s">
        <v>55</v>
      </c>
      <c r="H50" s="6" t="s">
        <v>551</v>
      </c>
      <c r="I50" s="6" t="s">
        <v>56</v>
      </c>
      <c r="J50" s="6" t="s">
        <v>56</v>
      </c>
      <c r="P50" s="9"/>
      <c r="Q50" s="11"/>
    </row>
    <row r="51" spans="4:17" x14ac:dyDescent="0.2">
      <c r="D51" s="5" t="s">
        <v>125</v>
      </c>
      <c r="E51" s="5" t="s">
        <v>235</v>
      </c>
      <c r="F51" s="5" t="s">
        <v>361</v>
      </c>
      <c r="G51" s="6" t="s">
        <v>55</v>
      </c>
      <c r="H51" s="6" t="s">
        <v>645</v>
      </c>
      <c r="I51" s="6" t="s">
        <v>359</v>
      </c>
      <c r="J51" s="6" t="s">
        <v>359</v>
      </c>
      <c r="P51" s="9"/>
      <c r="Q51" s="11"/>
    </row>
    <row r="52" spans="4:17" x14ac:dyDescent="0.2">
      <c r="D52" s="5" t="s">
        <v>125</v>
      </c>
      <c r="E52" s="5" t="s">
        <v>235</v>
      </c>
      <c r="F52" s="5" t="s">
        <v>606</v>
      </c>
      <c r="G52" s="6" t="s">
        <v>55</v>
      </c>
      <c r="H52" s="6" t="s">
        <v>645</v>
      </c>
      <c r="I52" s="6" t="s">
        <v>359</v>
      </c>
      <c r="J52" s="6" t="s">
        <v>765</v>
      </c>
      <c r="P52" s="9"/>
      <c r="Q52" s="11"/>
    </row>
    <row r="53" spans="4:17" x14ac:dyDescent="0.2">
      <c r="D53" s="5" t="s">
        <v>55</v>
      </c>
      <c r="E53" s="5" t="s">
        <v>529</v>
      </c>
      <c r="F53" s="5" t="s">
        <v>45</v>
      </c>
      <c r="G53" s="6" t="s">
        <v>55</v>
      </c>
      <c r="H53" s="6" t="s">
        <v>645</v>
      </c>
      <c r="I53" s="6" t="s">
        <v>673</v>
      </c>
      <c r="J53" s="6" t="s">
        <v>789</v>
      </c>
      <c r="P53" s="9"/>
      <c r="Q53" s="11"/>
    </row>
    <row r="54" spans="4:17" x14ac:dyDescent="0.2">
      <c r="D54" s="5" t="s">
        <v>55</v>
      </c>
      <c r="E54" s="5" t="s">
        <v>529</v>
      </c>
      <c r="F54" s="5" t="s">
        <v>289</v>
      </c>
      <c r="G54" s="6" t="s">
        <v>55</v>
      </c>
      <c r="H54" s="6" t="s">
        <v>645</v>
      </c>
      <c r="I54" s="6" t="s">
        <v>673</v>
      </c>
      <c r="J54" s="6" t="s">
        <v>673</v>
      </c>
      <c r="P54" s="9"/>
      <c r="Q54" s="11"/>
    </row>
    <row r="55" spans="4:17" x14ac:dyDescent="0.2">
      <c r="D55" s="5" t="s">
        <v>55</v>
      </c>
      <c r="E55" s="5" t="s">
        <v>529</v>
      </c>
      <c r="F55" s="5" t="s">
        <v>285</v>
      </c>
      <c r="G55" s="6" t="s">
        <v>55</v>
      </c>
      <c r="H55" s="6" t="s">
        <v>645</v>
      </c>
      <c r="I55" s="6" t="s">
        <v>673</v>
      </c>
      <c r="J55" s="6" t="s">
        <v>168</v>
      </c>
      <c r="P55" s="9"/>
      <c r="Q55" s="11"/>
    </row>
    <row r="56" spans="4:17" x14ac:dyDescent="0.2">
      <c r="D56" s="5" t="s">
        <v>55</v>
      </c>
      <c r="E56" s="5" t="s">
        <v>471</v>
      </c>
      <c r="F56" s="5" t="s">
        <v>834</v>
      </c>
      <c r="G56" s="6" t="s">
        <v>55</v>
      </c>
      <c r="H56" s="6" t="s">
        <v>645</v>
      </c>
      <c r="I56" s="6" t="s">
        <v>673</v>
      </c>
      <c r="J56" s="6" t="s">
        <v>814</v>
      </c>
      <c r="P56" s="9"/>
      <c r="Q56" s="11"/>
    </row>
    <row r="57" spans="4:17" ht="22.5" x14ac:dyDescent="0.2">
      <c r="D57" s="5" t="s">
        <v>55</v>
      </c>
      <c r="E57" s="5" t="s">
        <v>471</v>
      </c>
      <c r="F57" s="5" t="s">
        <v>689</v>
      </c>
      <c r="G57" s="6" t="s">
        <v>55</v>
      </c>
      <c r="H57" s="6" t="s">
        <v>645</v>
      </c>
      <c r="I57" s="6" t="s">
        <v>764</v>
      </c>
      <c r="J57" s="6" t="s">
        <v>764</v>
      </c>
      <c r="P57" s="9"/>
      <c r="Q57" s="11"/>
    </row>
    <row r="58" spans="4:17" x14ac:dyDescent="0.2">
      <c r="D58" s="5" t="s">
        <v>55</v>
      </c>
      <c r="E58" s="5" t="s">
        <v>471</v>
      </c>
      <c r="F58" s="5" t="s">
        <v>573</v>
      </c>
      <c r="G58" s="6" t="s">
        <v>55</v>
      </c>
      <c r="H58" s="6" t="s">
        <v>645</v>
      </c>
      <c r="I58" s="6" t="s">
        <v>171</v>
      </c>
      <c r="J58" s="6" t="s">
        <v>171</v>
      </c>
      <c r="P58" s="9"/>
      <c r="Q58" s="11"/>
    </row>
    <row r="59" spans="4:17" ht="22.5" x14ac:dyDescent="0.2">
      <c r="D59" s="5" t="s">
        <v>55</v>
      </c>
      <c r="E59" s="5" t="s">
        <v>645</v>
      </c>
      <c r="F59" s="5" t="s">
        <v>373</v>
      </c>
      <c r="G59" s="6" t="s">
        <v>55</v>
      </c>
      <c r="H59" s="6" t="s">
        <v>645</v>
      </c>
      <c r="I59" s="6" t="s">
        <v>373</v>
      </c>
      <c r="J59" s="6" t="s">
        <v>373</v>
      </c>
      <c r="P59" s="9"/>
      <c r="Q59" s="11"/>
    </row>
    <row r="60" spans="4:17" x14ac:dyDescent="0.2">
      <c r="D60" s="5" t="s">
        <v>55</v>
      </c>
      <c r="E60" s="5" t="s">
        <v>645</v>
      </c>
      <c r="F60" s="5" t="s">
        <v>359</v>
      </c>
      <c r="G60" s="6" t="s">
        <v>55</v>
      </c>
      <c r="H60" s="6" t="s">
        <v>645</v>
      </c>
      <c r="I60" s="6" t="s">
        <v>855</v>
      </c>
      <c r="J60" s="6" t="s">
        <v>855</v>
      </c>
      <c r="P60" s="9"/>
      <c r="Q60" s="11"/>
    </row>
    <row r="61" spans="4:17" ht="22.5" x14ac:dyDescent="0.2">
      <c r="D61" s="5" t="s">
        <v>55</v>
      </c>
      <c r="E61" s="5" t="s">
        <v>645</v>
      </c>
      <c r="F61" s="5" t="s">
        <v>673</v>
      </c>
      <c r="G61" s="6" t="s">
        <v>55</v>
      </c>
      <c r="H61" s="6" t="s">
        <v>471</v>
      </c>
      <c r="I61" s="6" t="s">
        <v>573</v>
      </c>
      <c r="J61" s="6" t="s">
        <v>573</v>
      </c>
      <c r="P61" s="9"/>
      <c r="Q61" s="11"/>
    </row>
    <row r="62" spans="4:17" ht="22.5" x14ac:dyDescent="0.2">
      <c r="D62" s="5" t="s">
        <v>55</v>
      </c>
      <c r="E62" s="5" t="s">
        <v>645</v>
      </c>
      <c r="F62" s="5" t="s">
        <v>764</v>
      </c>
      <c r="G62" s="6" t="s">
        <v>55</v>
      </c>
      <c r="H62" s="6" t="s">
        <v>471</v>
      </c>
      <c r="I62" s="6" t="s">
        <v>834</v>
      </c>
      <c r="J62" s="6" t="s">
        <v>834</v>
      </c>
      <c r="P62" s="9"/>
      <c r="Q62" s="11"/>
    </row>
    <row r="63" spans="4:17" ht="22.5" x14ac:dyDescent="0.2">
      <c r="D63" s="5" t="s">
        <v>55</v>
      </c>
      <c r="E63" s="5" t="s">
        <v>645</v>
      </c>
      <c r="F63" s="5" t="s">
        <v>171</v>
      </c>
      <c r="G63" s="6" t="s">
        <v>55</v>
      </c>
      <c r="H63" s="6" t="s">
        <v>471</v>
      </c>
      <c r="I63" s="6" t="s">
        <v>689</v>
      </c>
      <c r="J63" s="6" t="s">
        <v>689</v>
      </c>
      <c r="P63" s="9"/>
      <c r="Q63" s="11"/>
    </row>
    <row r="64" spans="4:17" x14ac:dyDescent="0.2">
      <c r="D64" s="5" t="s">
        <v>55</v>
      </c>
      <c r="E64" s="5" t="s">
        <v>645</v>
      </c>
      <c r="F64" s="5" t="s">
        <v>855</v>
      </c>
      <c r="G64" s="6" t="s">
        <v>55</v>
      </c>
      <c r="H64" s="6" t="s">
        <v>529</v>
      </c>
      <c r="I64" s="6" t="s">
        <v>289</v>
      </c>
      <c r="J64" s="6" t="s">
        <v>129</v>
      </c>
      <c r="P64" s="9"/>
      <c r="Q64" s="11"/>
    </row>
    <row r="65" spans="4:17" x14ac:dyDescent="0.2">
      <c r="D65" s="5" t="s">
        <v>55</v>
      </c>
      <c r="E65" s="5" t="s">
        <v>551</v>
      </c>
      <c r="F65" s="5" t="s">
        <v>551</v>
      </c>
      <c r="G65" s="6" t="s">
        <v>55</v>
      </c>
      <c r="H65" s="6" t="s">
        <v>529</v>
      </c>
      <c r="I65" s="6" t="s">
        <v>289</v>
      </c>
      <c r="J65" s="6" t="s">
        <v>289</v>
      </c>
      <c r="P65" s="9"/>
      <c r="Q65" s="11"/>
    </row>
    <row r="66" spans="4:17" x14ac:dyDescent="0.2">
      <c r="D66" s="5" t="s">
        <v>55</v>
      </c>
      <c r="E66" s="5" t="s">
        <v>551</v>
      </c>
      <c r="F66" s="5" t="s">
        <v>466</v>
      </c>
      <c r="G66" s="6" t="s">
        <v>55</v>
      </c>
      <c r="H66" s="6" t="s">
        <v>529</v>
      </c>
      <c r="I66" s="6" t="s">
        <v>289</v>
      </c>
      <c r="J66" s="6" t="s">
        <v>445</v>
      </c>
      <c r="P66" s="9"/>
      <c r="Q66" s="11"/>
    </row>
    <row r="67" spans="4:17" x14ac:dyDescent="0.2">
      <c r="D67" s="5" t="s">
        <v>55</v>
      </c>
      <c r="E67" s="5" t="s">
        <v>551</v>
      </c>
      <c r="F67" s="5" t="s">
        <v>56</v>
      </c>
      <c r="G67" s="6" t="s">
        <v>55</v>
      </c>
      <c r="H67" s="6" t="s">
        <v>529</v>
      </c>
      <c r="I67" s="6" t="s">
        <v>289</v>
      </c>
      <c r="J67" s="6" t="s">
        <v>152</v>
      </c>
      <c r="P67" s="9"/>
      <c r="Q67" s="11"/>
    </row>
    <row r="68" spans="4:17" x14ac:dyDescent="0.2">
      <c r="D68" s="5" t="s">
        <v>55</v>
      </c>
      <c r="E68" s="5" t="s">
        <v>551</v>
      </c>
      <c r="F68" s="5" t="s">
        <v>34</v>
      </c>
      <c r="G68" s="6" t="s">
        <v>55</v>
      </c>
      <c r="H68" s="6" t="s">
        <v>529</v>
      </c>
      <c r="I68" s="6" t="s">
        <v>289</v>
      </c>
      <c r="J68" s="6" t="s">
        <v>697</v>
      </c>
      <c r="P68" s="9"/>
      <c r="Q68" s="11"/>
    </row>
    <row r="69" spans="4:17" x14ac:dyDescent="0.2">
      <c r="D69" s="5" t="s">
        <v>55</v>
      </c>
      <c r="E69" s="5" t="s">
        <v>551</v>
      </c>
      <c r="F69" s="5" t="s">
        <v>852</v>
      </c>
      <c r="G69" s="6" t="s">
        <v>55</v>
      </c>
      <c r="H69" s="6" t="s">
        <v>529</v>
      </c>
      <c r="I69" s="6" t="s">
        <v>285</v>
      </c>
      <c r="J69" s="6" t="s">
        <v>659</v>
      </c>
      <c r="P69" s="9"/>
      <c r="Q69" s="11"/>
    </row>
    <row r="70" spans="4:17" x14ac:dyDescent="0.2">
      <c r="D70" s="5" t="s">
        <v>836</v>
      </c>
      <c r="E70" s="5" t="s">
        <v>694</v>
      </c>
      <c r="F70" s="5" t="s">
        <v>694</v>
      </c>
      <c r="G70" s="6" t="s">
        <v>55</v>
      </c>
      <c r="H70" s="6" t="s">
        <v>529</v>
      </c>
      <c r="I70" s="6" t="s">
        <v>285</v>
      </c>
      <c r="J70" s="6" t="s">
        <v>662</v>
      </c>
      <c r="P70" s="9"/>
      <c r="Q70" s="11"/>
    </row>
    <row r="71" spans="4:17" x14ac:dyDescent="0.2">
      <c r="D71" s="5" t="s">
        <v>836</v>
      </c>
      <c r="E71" s="5" t="s">
        <v>694</v>
      </c>
      <c r="F71" s="5" t="s">
        <v>348</v>
      </c>
      <c r="G71" s="6" t="s">
        <v>55</v>
      </c>
      <c r="H71" s="6" t="s">
        <v>529</v>
      </c>
      <c r="I71" s="6" t="s">
        <v>285</v>
      </c>
      <c r="J71" s="6" t="s">
        <v>268</v>
      </c>
      <c r="P71" s="9"/>
      <c r="Q71" s="11"/>
    </row>
    <row r="72" spans="4:17" x14ac:dyDescent="0.2">
      <c r="D72" s="5" t="s">
        <v>836</v>
      </c>
      <c r="E72" s="5" t="s">
        <v>694</v>
      </c>
      <c r="F72" s="5" t="s">
        <v>740</v>
      </c>
      <c r="G72" s="6" t="s">
        <v>55</v>
      </c>
      <c r="H72" s="6" t="s">
        <v>529</v>
      </c>
      <c r="I72" s="6" t="s">
        <v>285</v>
      </c>
      <c r="J72" s="6" t="s">
        <v>285</v>
      </c>
      <c r="P72" s="9"/>
      <c r="Q72" s="11"/>
    </row>
    <row r="73" spans="4:17" ht="22.5" x14ac:dyDescent="0.2">
      <c r="D73" s="5" t="s">
        <v>836</v>
      </c>
      <c r="E73" s="5" t="s">
        <v>694</v>
      </c>
      <c r="F73" s="5" t="s">
        <v>804</v>
      </c>
      <c r="G73" s="6" t="s">
        <v>55</v>
      </c>
      <c r="H73" s="6" t="s">
        <v>529</v>
      </c>
      <c r="I73" s="6" t="s">
        <v>45</v>
      </c>
      <c r="J73" s="6" t="s">
        <v>781</v>
      </c>
      <c r="P73" s="9"/>
      <c r="Q73" s="11"/>
    </row>
    <row r="74" spans="4:17" ht="22.5" x14ac:dyDescent="0.2">
      <c r="D74" s="5" t="s">
        <v>836</v>
      </c>
      <c r="E74" s="5" t="s">
        <v>694</v>
      </c>
      <c r="F74" s="5" t="s">
        <v>715</v>
      </c>
      <c r="G74" s="6" t="s">
        <v>55</v>
      </c>
      <c r="H74" s="6" t="s">
        <v>529</v>
      </c>
      <c r="I74" s="6" t="s">
        <v>45</v>
      </c>
      <c r="J74" s="6" t="s">
        <v>620</v>
      </c>
      <c r="P74" s="9"/>
      <c r="Q74" s="11"/>
    </row>
    <row r="75" spans="4:17" ht="22.5" x14ac:dyDescent="0.2">
      <c r="D75" s="5" t="s">
        <v>836</v>
      </c>
      <c r="E75" s="5" t="s">
        <v>694</v>
      </c>
      <c r="F75" s="5" t="s">
        <v>577</v>
      </c>
      <c r="G75" s="6" t="s">
        <v>55</v>
      </c>
      <c r="H75" s="6" t="s">
        <v>529</v>
      </c>
      <c r="I75" s="6" t="s">
        <v>45</v>
      </c>
      <c r="J75" s="6" t="s">
        <v>439</v>
      </c>
      <c r="P75" s="9"/>
      <c r="Q75" s="11"/>
    </row>
    <row r="76" spans="4:17" ht="22.5" x14ac:dyDescent="0.2">
      <c r="D76" s="5" t="s">
        <v>836</v>
      </c>
      <c r="E76" s="5" t="s">
        <v>694</v>
      </c>
      <c r="F76" s="5" t="s">
        <v>16</v>
      </c>
      <c r="G76" s="6" t="s">
        <v>55</v>
      </c>
      <c r="H76" s="6" t="s">
        <v>529</v>
      </c>
      <c r="I76" s="6" t="s">
        <v>45</v>
      </c>
      <c r="J76" s="6" t="s">
        <v>45</v>
      </c>
      <c r="P76" s="9"/>
      <c r="Q76" s="11"/>
    </row>
    <row r="77" spans="4:17" ht="22.5" x14ac:dyDescent="0.2">
      <c r="D77" s="5" t="s">
        <v>836</v>
      </c>
      <c r="E77" s="5" t="s">
        <v>694</v>
      </c>
      <c r="F77" s="5" t="s">
        <v>832</v>
      </c>
      <c r="G77" s="6" t="s">
        <v>70</v>
      </c>
      <c r="H77" s="6" t="s">
        <v>808</v>
      </c>
      <c r="I77" s="6" t="s">
        <v>1</v>
      </c>
      <c r="J77" s="6" t="s">
        <v>1</v>
      </c>
      <c r="P77" s="9"/>
      <c r="Q77" s="11"/>
    </row>
    <row r="78" spans="4:17" ht="22.5" x14ac:dyDescent="0.2">
      <c r="D78" s="5" t="s">
        <v>836</v>
      </c>
      <c r="E78" s="5" t="s">
        <v>222</v>
      </c>
      <c r="F78" s="5" t="s">
        <v>403</v>
      </c>
      <c r="G78" s="6" t="s">
        <v>70</v>
      </c>
      <c r="H78" s="6" t="s">
        <v>808</v>
      </c>
      <c r="I78" s="6" t="s">
        <v>622</v>
      </c>
      <c r="J78" s="6" t="s">
        <v>622</v>
      </c>
      <c r="P78" s="9"/>
      <c r="Q78" s="11"/>
    </row>
    <row r="79" spans="4:17" ht="22.5" x14ac:dyDescent="0.2">
      <c r="D79" s="5" t="s">
        <v>836</v>
      </c>
      <c r="E79" s="5" t="s">
        <v>222</v>
      </c>
      <c r="F79" s="5" t="s">
        <v>712</v>
      </c>
      <c r="G79" s="6" t="s">
        <v>70</v>
      </c>
      <c r="H79" s="6" t="s">
        <v>808</v>
      </c>
      <c r="I79" s="6" t="s">
        <v>622</v>
      </c>
      <c r="J79" s="6" t="s">
        <v>624</v>
      </c>
      <c r="P79" s="9"/>
      <c r="Q79" s="11"/>
    </row>
    <row r="80" spans="4:17" ht="22.5" x14ac:dyDescent="0.2">
      <c r="D80" s="5" t="s">
        <v>836</v>
      </c>
      <c r="E80" s="5" t="s">
        <v>81</v>
      </c>
      <c r="F80" s="5" t="s">
        <v>81</v>
      </c>
      <c r="G80" s="6" t="s">
        <v>70</v>
      </c>
      <c r="H80" s="6" t="s">
        <v>808</v>
      </c>
      <c r="I80" s="6" t="s">
        <v>622</v>
      </c>
      <c r="J80" s="6" t="s">
        <v>527</v>
      </c>
      <c r="P80" s="9"/>
      <c r="Q80" s="11"/>
    </row>
    <row r="81" spans="4:17" ht="22.5" x14ac:dyDescent="0.2">
      <c r="D81" s="5" t="s">
        <v>836</v>
      </c>
      <c r="E81" s="5" t="s">
        <v>81</v>
      </c>
      <c r="F81" s="5" t="s">
        <v>429</v>
      </c>
      <c r="G81" s="6" t="s">
        <v>70</v>
      </c>
      <c r="H81" s="6" t="s">
        <v>808</v>
      </c>
      <c r="I81" s="6" t="s">
        <v>622</v>
      </c>
      <c r="J81" s="6" t="s">
        <v>53</v>
      </c>
      <c r="P81" s="9"/>
      <c r="Q81" s="11"/>
    </row>
    <row r="82" spans="4:17" x14ac:dyDescent="0.2">
      <c r="D82" s="5" t="s">
        <v>836</v>
      </c>
      <c r="E82" s="5" t="s">
        <v>81</v>
      </c>
      <c r="F82" s="5" t="s">
        <v>13</v>
      </c>
      <c r="G82" s="6" t="s">
        <v>70</v>
      </c>
      <c r="H82" s="6" t="s">
        <v>808</v>
      </c>
      <c r="I82" s="6" t="s">
        <v>131</v>
      </c>
      <c r="J82" s="6" t="s">
        <v>131</v>
      </c>
      <c r="P82" s="9"/>
      <c r="Q82" s="11"/>
    </row>
    <row r="83" spans="4:17" x14ac:dyDescent="0.2">
      <c r="D83" s="5" t="s">
        <v>836</v>
      </c>
      <c r="E83" s="5" t="s">
        <v>291</v>
      </c>
      <c r="F83" s="5" t="s">
        <v>2</v>
      </c>
      <c r="G83" s="6" t="s">
        <v>70</v>
      </c>
      <c r="H83" s="6" t="s">
        <v>808</v>
      </c>
      <c r="I83" s="6" t="s">
        <v>211</v>
      </c>
      <c r="J83" s="6" t="s">
        <v>161</v>
      </c>
      <c r="P83" s="9"/>
      <c r="Q83" s="11"/>
    </row>
    <row r="84" spans="4:17" x14ac:dyDescent="0.2">
      <c r="D84" s="5" t="s">
        <v>836</v>
      </c>
      <c r="E84" s="5" t="s">
        <v>291</v>
      </c>
      <c r="F84" s="5" t="s">
        <v>90</v>
      </c>
      <c r="G84" s="6" t="s">
        <v>70</v>
      </c>
      <c r="H84" s="6" t="s">
        <v>808</v>
      </c>
      <c r="I84" s="6" t="s">
        <v>211</v>
      </c>
      <c r="J84" s="6" t="s">
        <v>68</v>
      </c>
      <c r="P84" s="9"/>
      <c r="Q84" s="11"/>
    </row>
    <row r="85" spans="4:17" x14ac:dyDescent="0.2">
      <c r="D85" s="5" t="s">
        <v>836</v>
      </c>
      <c r="E85" s="5" t="s">
        <v>291</v>
      </c>
      <c r="F85" s="5" t="s">
        <v>433</v>
      </c>
      <c r="G85" s="6" t="s">
        <v>70</v>
      </c>
      <c r="H85" s="6" t="s">
        <v>808</v>
      </c>
      <c r="I85" s="6" t="s">
        <v>211</v>
      </c>
      <c r="J85" s="6" t="s">
        <v>243</v>
      </c>
      <c r="P85" s="9"/>
      <c r="Q85" s="11"/>
    </row>
    <row r="86" spans="4:17" x14ac:dyDescent="0.2">
      <c r="D86" s="5" t="s">
        <v>836</v>
      </c>
      <c r="E86" s="5" t="s">
        <v>291</v>
      </c>
      <c r="F86" s="5" t="s">
        <v>598</v>
      </c>
      <c r="G86" s="6" t="s">
        <v>70</v>
      </c>
      <c r="H86" s="6" t="s">
        <v>808</v>
      </c>
      <c r="I86" s="6" t="s">
        <v>211</v>
      </c>
      <c r="J86" s="6" t="s">
        <v>198</v>
      </c>
      <c r="P86" s="9"/>
      <c r="Q86" s="11"/>
    </row>
    <row r="87" spans="4:17" x14ac:dyDescent="0.2">
      <c r="D87" s="5" t="s">
        <v>836</v>
      </c>
      <c r="E87" s="5" t="s">
        <v>291</v>
      </c>
      <c r="F87" s="5" t="s">
        <v>29</v>
      </c>
      <c r="G87" s="6" t="s">
        <v>70</v>
      </c>
      <c r="H87" s="6" t="s">
        <v>808</v>
      </c>
      <c r="I87" s="6" t="s">
        <v>211</v>
      </c>
      <c r="J87" s="6" t="s">
        <v>485</v>
      </c>
      <c r="P87" s="9"/>
      <c r="Q87" s="11"/>
    </row>
    <row r="88" spans="4:17" x14ac:dyDescent="0.2">
      <c r="D88" s="5" t="s">
        <v>836</v>
      </c>
      <c r="E88" s="5" t="s">
        <v>291</v>
      </c>
      <c r="F88" s="5" t="s">
        <v>682</v>
      </c>
      <c r="G88" s="6" t="s">
        <v>70</v>
      </c>
      <c r="H88" s="6" t="s">
        <v>808</v>
      </c>
      <c r="I88" s="6" t="s">
        <v>211</v>
      </c>
      <c r="J88" s="6" t="s">
        <v>835</v>
      </c>
      <c r="P88" s="9"/>
      <c r="Q88" s="11"/>
    </row>
    <row r="89" spans="4:17" x14ac:dyDescent="0.2">
      <c r="D89" s="5" t="s">
        <v>836</v>
      </c>
      <c r="E89" s="5" t="s">
        <v>291</v>
      </c>
      <c r="F89" s="5" t="s">
        <v>572</v>
      </c>
      <c r="G89" s="6" t="s">
        <v>70</v>
      </c>
      <c r="H89" s="6" t="s">
        <v>808</v>
      </c>
      <c r="I89" s="6" t="s">
        <v>211</v>
      </c>
      <c r="J89" s="6" t="s">
        <v>211</v>
      </c>
      <c r="P89" s="9"/>
      <c r="Q89" s="11"/>
    </row>
    <row r="90" spans="4:17" x14ac:dyDescent="0.2">
      <c r="D90" s="5" t="s">
        <v>836</v>
      </c>
      <c r="E90" s="5" t="s">
        <v>291</v>
      </c>
      <c r="F90" s="5" t="s">
        <v>510</v>
      </c>
      <c r="G90" s="6" t="s">
        <v>70</v>
      </c>
      <c r="H90" s="6" t="s">
        <v>808</v>
      </c>
      <c r="I90" s="6" t="s">
        <v>211</v>
      </c>
      <c r="J90" s="6" t="s">
        <v>288</v>
      </c>
      <c r="P90" s="9"/>
      <c r="Q90" s="11"/>
    </row>
    <row r="91" spans="4:17" x14ac:dyDescent="0.2">
      <c r="D91" s="5" t="s">
        <v>836</v>
      </c>
      <c r="E91" s="5" t="s">
        <v>291</v>
      </c>
      <c r="F91" s="5" t="s">
        <v>354</v>
      </c>
      <c r="G91" s="6" t="s">
        <v>70</v>
      </c>
      <c r="H91" s="6" t="s">
        <v>808</v>
      </c>
      <c r="I91" s="6" t="s">
        <v>211</v>
      </c>
      <c r="J91" s="6" t="s">
        <v>480</v>
      </c>
      <c r="P91" s="9"/>
      <c r="Q91" s="11"/>
    </row>
    <row r="92" spans="4:17" x14ac:dyDescent="0.2">
      <c r="D92" s="5" t="s">
        <v>836</v>
      </c>
      <c r="E92" s="5" t="s">
        <v>291</v>
      </c>
      <c r="F92" s="5" t="s">
        <v>83</v>
      </c>
      <c r="G92" s="6" t="s">
        <v>70</v>
      </c>
      <c r="H92" s="6" t="s">
        <v>585</v>
      </c>
      <c r="I92" s="6" t="s">
        <v>839</v>
      </c>
      <c r="J92" s="6" t="s">
        <v>839</v>
      </c>
      <c r="P92" s="9"/>
      <c r="Q92" s="11"/>
    </row>
    <row r="93" spans="4:17" x14ac:dyDescent="0.2">
      <c r="D93" s="5" t="s">
        <v>263</v>
      </c>
      <c r="E93" s="5" t="s">
        <v>107</v>
      </c>
      <c r="F93" s="5" t="s">
        <v>518</v>
      </c>
      <c r="G93" s="6" t="s">
        <v>70</v>
      </c>
      <c r="H93" s="6" t="s">
        <v>585</v>
      </c>
      <c r="I93" s="6" t="s">
        <v>839</v>
      </c>
      <c r="J93" s="6" t="s">
        <v>783</v>
      </c>
      <c r="P93" s="9"/>
      <c r="Q93" s="11"/>
    </row>
    <row r="94" spans="4:17" x14ac:dyDescent="0.2">
      <c r="D94" s="5" t="s">
        <v>263</v>
      </c>
      <c r="E94" s="5" t="s">
        <v>107</v>
      </c>
      <c r="F94" s="5" t="s">
        <v>311</v>
      </c>
      <c r="G94" s="6" t="s">
        <v>70</v>
      </c>
      <c r="H94" s="6" t="s">
        <v>585</v>
      </c>
      <c r="I94" s="6" t="s">
        <v>19</v>
      </c>
      <c r="J94" s="6" t="s">
        <v>19</v>
      </c>
      <c r="P94" s="9"/>
      <c r="Q94" s="11"/>
    </row>
    <row r="95" spans="4:17" x14ac:dyDescent="0.2">
      <c r="D95" s="5" t="s">
        <v>263</v>
      </c>
      <c r="E95" s="5" t="s">
        <v>107</v>
      </c>
      <c r="F95" s="5" t="s">
        <v>708</v>
      </c>
      <c r="G95" s="6" t="s">
        <v>70</v>
      </c>
      <c r="H95" s="6" t="s">
        <v>585</v>
      </c>
      <c r="I95" s="6" t="s">
        <v>822</v>
      </c>
      <c r="J95" s="6" t="s">
        <v>822</v>
      </c>
      <c r="P95" s="9"/>
      <c r="Q95" s="11"/>
    </row>
    <row r="96" spans="4:17" x14ac:dyDescent="0.2">
      <c r="D96" s="5" t="s">
        <v>263</v>
      </c>
      <c r="E96" s="5" t="s">
        <v>107</v>
      </c>
      <c r="F96" s="5" t="s">
        <v>180</v>
      </c>
      <c r="G96" s="6" t="s">
        <v>70</v>
      </c>
      <c r="H96" s="6" t="s">
        <v>585</v>
      </c>
      <c r="I96" s="6" t="s">
        <v>35</v>
      </c>
      <c r="J96" s="6" t="s">
        <v>35</v>
      </c>
      <c r="P96" s="9"/>
      <c r="Q96" s="11"/>
    </row>
    <row r="97" spans="4:17" x14ac:dyDescent="0.2">
      <c r="D97" s="5" t="s">
        <v>263</v>
      </c>
      <c r="E97" s="5" t="s">
        <v>107</v>
      </c>
      <c r="F97" s="5" t="s">
        <v>600</v>
      </c>
      <c r="G97" s="6" t="s">
        <v>70</v>
      </c>
      <c r="H97" s="6" t="s">
        <v>585</v>
      </c>
      <c r="I97" s="6" t="s">
        <v>35</v>
      </c>
      <c r="J97" s="6" t="s">
        <v>559</v>
      </c>
      <c r="P97" s="9"/>
      <c r="Q97" s="11"/>
    </row>
    <row r="98" spans="4:17" x14ac:dyDescent="0.2">
      <c r="D98" s="5" t="s">
        <v>263</v>
      </c>
      <c r="E98" s="5" t="s">
        <v>107</v>
      </c>
      <c r="F98" s="5" t="s">
        <v>193</v>
      </c>
      <c r="G98" s="6" t="s">
        <v>70</v>
      </c>
      <c r="H98" s="6" t="s">
        <v>585</v>
      </c>
      <c r="I98" s="6" t="s">
        <v>170</v>
      </c>
      <c r="J98" s="6" t="s">
        <v>421</v>
      </c>
      <c r="P98" s="9"/>
      <c r="Q98" s="11"/>
    </row>
    <row r="99" spans="4:17" ht="22.5" x14ac:dyDescent="0.2">
      <c r="D99" s="5" t="s">
        <v>263</v>
      </c>
      <c r="E99" s="5" t="s">
        <v>107</v>
      </c>
      <c r="F99" s="5" t="s">
        <v>52</v>
      </c>
      <c r="G99" s="6" t="s">
        <v>70</v>
      </c>
      <c r="H99" s="6" t="s">
        <v>585</v>
      </c>
      <c r="I99" s="6" t="s">
        <v>170</v>
      </c>
      <c r="J99" s="6" t="s">
        <v>450</v>
      </c>
      <c r="P99" s="9"/>
      <c r="Q99" s="11"/>
    </row>
    <row r="100" spans="4:17" x14ac:dyDescent="0.2">
      <c r="D100" s="5" t="s">
        <v>263</v>
      </c>
      <c r="E100" s="5" t="s">
        <v>107</v>
      </c>
      <c r="F100" s="5" t="s">
        <v>469</v>
      </c>
      <c r="G100" s="6" t="s">
        <v>70</v>
      </c>
      <c r="H100" s="6" t="s">
        <v>585</v>
      </c>
      <c r="I100" s="6" t="s">
        <v>170</v>
      </c>
      <c r="J100" s="6" t="s">
        <v>578</v>
      </c>
      <c r="P100" s="9"/>
      <c r="Q100" s="11"/>
    </row>
    <row r="101" spans="4:17" x14ac:dyDescent="0.2">
      <c r="D101" s="5" t="s">
        <v>263</v>
      </c>
      <c r="E101" s="5" t="s">
        <v>107</v>
      </c>
      <c r="F101" s="5" t="s">
        <v>453</v>
      </c>
      <c r="G101" s="6" t="s">
        <v>70</v>
      </c>
      <c r="H101" s="6" t="s">
        <v>585</v>
      </c>
      <c r="I101" s="6" t="s">
        <v>170</v>
      </c>
      <c r="J101" s="6" t="s">
        <v>170</v>
      </c>
      <c r="P101" s="9"/>
      <c r="Q101" s="11"/>
    </row>
    <row r="102" spans="4:17" ht="22.5" x14ac:dyDescent="0.2">
      <c r="D102" s="5" t="s">
        <v>263</v>
      </c>
      <c r="E102" s="5" t="s">
        <v>107</v>
      </c>
      <c r="F102" s="5" t="s">
        <v>498</v>
      </c>
      <c r="G102" s="6" t="s">
        <v>70</v>
      </c>
      <c r="H102" s="6" t="s">
        <v>585</v>
      </c>
      <c r="I102" s="6" t="s">
        <v>795</v>
      </c>
      <c r="J102" s="6" t="s">
        <v>257</v>
      </c>
      <c r="P102" s="9"/>
      <c r="Q102" s="11"/>
    </row>
    <row r="103" spans="4:17" ht="22.5" x14ac:dyDescent="0.2">
      <c r="D103" s="5" t="s">
        <v>263</v>
      </c>
      <c r="E103" s="5" t="s">
        <v>107</v>
      </c>
      <c r="F103" s="5" t="s">
        <v>242</v>
      </c>
      <c r="G103" s="6" t="s">
        <v>70</v>
      </c>
      <c r="H103" s="6" t="s">
        <v>585</v>
      </c>
      <c r="I103" s="6" t="s">
        <v>795</v>
      </c>
      <c r="J103" s="6" t="s">
        <v>795</v>
      </c>
      <c r="P103" s="9"/>
      <c r="Q103" s="11"/>
    </row>
    <row r="104" spans="4:17" ht="22.5" x14ac:dyDescent="0.2">
      <c r="D104" s="5" t="s">
        <v>263</v>
      </c>
      <c r="E104" s="5" t="s">
        <v>248</v>
      </c>
      <c r="F104" s="5" t="s">
        <v>550</v>
      </c>
      <c r="G104" s="6" t="s">
        <v>70</v>
      </c>
      <c r="H104" s="6" t="s">
        <v>585</v>
      </c>
      <c r="I104" s="6" t="s">
        <v>795</v>
      </c>
      <c r="J104" s="6" t="s">
        <v>751</v>
      </c>
      <c r="P104" s="9"/>
      <c r="Q104" s="11"/>
    </row>
    <row r="105" spans="4:17" x14ac:dyDescent="0.2">
      <c r="D105" s="5" t="s">
        <v>263</v>
      </c>
      <c r="E105" s="5" t="s">
        <v>248</v>
      </c>
      <c r="F105" s="5" t="s">
        <v>660</v>
      </c>
      <c r="G105" s="6" t="s">
        <v>70</v>
      </c>
      <c r="H105" s="6" t="s">
        <v>585</v>
      </c>
      <c r="I105" s="6" t="s">
        <v>85</v>
      </c>
      <c r="J105" s="6" t="s">
        <v>186</v>
      </c>
      <c r="P105" s="9"/>
      <c r="Q105" s="11"/>
    </row>
    <row r="106" spans="4:17" x14ac:dyDescent="0.2">
      <c r="D106" s="5" t="s">
        <v>263</v>
      </c>
      <c r="E106" s="5" t="s">
        <v>248</v>
      </c>
      <c r="F106" s="5" t="s">
        <v>322</v>
      </c>
      <c r="G106" s="6" t="s">
        <v>70</v>
      </c>
      <c r="H106" s="6" t="s">
        <v>585</v>
      </c>
      <c r="I106" s="6" t="s">
        <v>85</v>
      </c>
      <c r="J106" s="6" t="s">
        <v>230</v>
      </c>
      <c r="P106" s="9"/>
      <c r="Q106" s="11"/>
    </row>
    <row r="107" spans="4:17" x14ac:dyDescent="0.2">
      <c r="D107" s="5" t="s">
        <v>263</v>
      </c>
      <c r="E107" s="5" t="s">
        <v>248</v>
      </c>
      <c r="F107" s="5" t="s">
        <v>249</v>
      </c>
      <c r="G107" s="6" t="s">
        <v>70</v>
      </c>
      <c r="H107" s="6" t="s">
        <v>585</v>
      </c>
      <c r="I107" s="6" t="s">
        <v>85</v>
      </c>
      <c r="J107" s="6" t="s">
        <v>85</v>
      </c>
      <c r="P107" s="9"/>
      <c r="Q107" s="11"/>
    </row>
    <row r="108" spans="4:17" x14ac:dyDescent="0.2">
      <c r="D108" s="5" t="s">
        <v>263</v>
      </c>
      <c r="E108" s="5" t="s">
        <v>248</v>
      </c>
      <c r="F108" s="5" t="s">
        <v>614</v>
      </c>
      <c r="G108" s="6" t="s">
        <v>70</v>
      </c>
      <c r="H108" s="6" t="s">
        <v>585</v>
      </c>
      <c r="I108" s="6" t="s">
        <v>319</v>
      </c>
      <c r="J108" s="6" t="s">
        <v>522</v>
      </c>
      <c r="P108" s="9"/>
      <c r="Q108" s="11"/>
    </row>
    <row r="109" spans="4:17" x14ac:dyDescent="0.2">
      <c r="D109" s="5" t="s">
        <v>263</v>
      </c>
      <c r="E109" s="5" t="s">
        <v>857</v>
      </c>
      <c r="F109" s="5" t="s">
        <v>857</v>
      </c>
      <c r="G109" s="6" t="s">
        <v>70</v>
      </c>
      <c r="H109" s="6" t="s">
        <v>585</v>
      </c>
      <c r="I109" s="6" t="s">
        <v>319</v>
      </c>
      <c r="J109" s="6" t="s">
        <v>304</v>
      </c>
      <c r="P109" s="9"/>
      <c r="Q109" s="11"/>
    </row>
    <row r="110" spans="4:17" x14ac:dyDescent="0.2">
      <c r="D110" s="5" t="s">
        <v>263</v>
      </c>
      <c r="E110" s="5" t="s">
        <v>857</v>
      </c>
      <c r="F110" s="5" t="s">
        <v>470</v>
      </c>
      <c r="G110" s="6" t="s">
        <v>70</v>
      </c>
      <c r="H110" s="6" t="s">
        <v>585</v>
      </c>
      <c r="I110" s="6" t="s">
        <v>319</v>
      </c>
      <c r="J110" s="6" t="s">
        <v>438</v>
      </c>
      <c r="P110" s="9"/>
      <c r="Q110" s="11"/>
    </row>
    <row r="111" spans="4:17" x14ac:dyDescent="0.2">
      <c r="D111" s="5" t="s">
        <v>263</v>
      </c>
      <c r="E111" s="5" t="s">
        <v>592</v>
      </c>
      <c r="F111" s="5" t="s">
        <v>247</v>
      </c>
      <c r="G111" s="6" t="s">
        <v>70</v>
      </c>
      <c r="H111" s="6" t="s">
        <v>585</v>
      </c>
      <c r="I111" s="6" t="s">
        <v>319</v>
      </c>
      <c r="J111" s="6" t="s">
        <v>319</v>
      </c>
      <c r="P111" s="9"/>
      <c r="Q111" s="11"/>
    </row>
    <row r="112" spans="4:17" x14ac:dyDescent="0.2">
      <c r="D112" s="5" t="s">
        <v>263</v>
      </c>
      <c r="E112" s="5" t="s">
        <v>592</v>
      </c>
      <c r="F112" s="5" t="s">
        <v>499</v>
      </c>
      <c r="G112" s="6" t="s">
        <v>70</v>
      </c>
      <c r="H112" s="6" t="s">
        <v>585</v>
      </c>
      <c r="I112" s="6" t="s">
        <v>63</v>
      </c>
      <c r="J112" s="6" t="s">
        <v>63</v>
      </c>
      <c r="P112" s="9"/>
      <c r="Q112" s="11"/>
    </row>
    <row r="113" spans="4:17" x14ac:dyDescent="0.2">
      <c r="D113" s="5" t="s">
        <v>263</v>
      </c>
      <c r="E113" s="5" t="s">
        <v>592</v>
      </c>
      <c r="F113" s="5" t="s">
        <v>486</v>
      </c>
      <c r="G113" s="6" t="s">
        <v>70</v>
      </c>
      <c r="H113" s="6" t="s">
        <v>390</v>
      </c>
      <c r="I113" s="6" t="s">
        <v>67</v>
      </c>
      <c r="J113" s="6" t="s">
        <v>8</v>
      </c>
      <c r="P113" s="9"/>
      <c r="Q113" s="11"/>
    </row>
    <row r="114" spans="4:17" x14ac:dyDescent="0.2">
      <c r="D114" s="5" t="s">
        <v>263</v>
      </c>
      <c r="E114" s="5" t="s">
        <v>592</v>
      </c>
      <c r="F114" s="5" t="s">
        <v>687</v>
      </c>
      <c r="G114" s="6" t="s">
        <v>70</v>
      </c>
      <c r="H114" s="6" t="s">
        <v>390</v>
      </c>
      <c r="I114" s="6" t="s">
        <v>67</v>
      </c>
      <c r="J114" s="6" t="s">
        <v>67</v>
      </c>
      <c r="P114" s="9"/>
      <c r="Q114" s="11"/>
    </row>
    <row r="115" spans="4:17" x14ac:dyDescent="0.2">
      <c r="D115" s="5" t="s">
        <v>263</v>
      </c>
      <c r="E115" s="5" t="s">
        <v>592</v>
      </c>
      <c r="F115" s="5" t="s">
        <v>546</v>
      </c>
      <c r="G115" s="6" t="s">
        <v>70</v>
      </c>
      <c r="H115" s="6" t="s">
        <v>390</v>
      </c>
      <c r="I115" s="6" t="s">
        <v>67</v>
      </c>
      <c r="J115" s="6" t="s">
        <v>833</v>
      </c>
      <c r="P115" s="9"/>
      <c r="Q115" s="11"/>
    </row>
    <row r="116" spans="4:17" x14ac:dyDescent="0.2">
      <c r="D116" s="5" t="s">
        <v>263</v>
      </c>
      <c r="E116" s="5" t="s">
        <v>592</v>
      </c>
      <c r="F116" s="5" t="s">
        <v>389</v>
      </c>
      <c r="G116" s="6" t="s">
        <v>70</v>
      </c>
      <c r="H116" s="6" t="s">
        <v>390</v>
      </c>
      <c r="I116" s="6" t="s">
        <v>404</v>
      </c>
      <c r="J116" s="6" t="s">
        <v>353</v>
      </c>
      <c r="P116" s="9"/>
      <c r="Q116" s="11"/>
    </row>
    <row r="117" spans="4:17" x14ac:dyDescent="0.2">
      <c r="D117" s="5" t="s">
        <v>579</v>
      </c>
      <c r="E117" s="5" t="s">
        <v>136</v>
      </c>
      <c r="F117" s="5" t="s">
        <v>695</v>
      </c>
      <c r="G117" s="6" t="s">
        <v>70</v>
      </c>
      <c r="H117" s="6" t="s">
        <v>390</v>
      </c>
      <c r="I117" s="6" t="s">
        <v>404</v>
      </c>
      <c r="J117" s="6" t="s">
        <v>404</v>
      </c>
      <c r="P117" s="9"/>
      <c r="Q117" s="11"/>
    </row>
    <row r="118" spans="4:17" x14ac:dyDescent="0.2">
      <c r="D118" s="5" t="s">
        <v>579</v>
      </c>
      <c r="E118" s="5" t="s">
        <v>136</v>
      </c>
      <c r="F118" s="5" t="s">
        <v>675</v>
      </c>
      <c r="G118" s="6" t="s">
        <v>70</v>
      </c>
      <c r="H118" s="6" t="s">
        <v>390</v>
      </c>
      <c r="I118" s="6" t="s">
        <v>699</v>
      </c>
      <c r="J118" s="6" t="s">
        <v>596</v>
      </c>
      <c r="P118" s="9"/>
      <c r="Q118" s="11"/>
    </row>
    <row r="119" spans="4:17" x14ac:dyDescent="0.2">
      <c r="D119" s="5" t="s">
        <v>579</v>
      </c>
      <c r="E119" s="5" t="s">
        <v>136</v>
      </c>
      <c r="F119" s="5" t="s">
        <v>656</v>
      </c>
      <c r="G119" s="6" t="s">
        <v>70</v>
      </c>
      <c r="H119" s="6" t="s">
        <v>390</v>
      </c>
      <c r="I119" s="6" t="s">
        <v>699</v>
      </c>
      <c r="J119" s="6" t="s">
        <v>90</v>
      </c>
      <c r="P119" s="9"/>
      <c r="Q119" s="11"/>
    </row>
    <row r="120" spans="4:17" x14ac:dyDescent="0.2">
      <c r="D120" s="5" t="s">
        <v>579</v>
      </c>
      <c r="E120" s="5" t="s">
        <v>136</v>
      </c>
      <c r="F120" s="5" t="s">
        <v>463</v>
      </c>
      <c r="G120" s="6" t="s">
        <v>70</v>
      </c>
      <c r="H120" s="6" t="s">
        <v>390</v>
      </c>
      <c r="I120" s="6" t="s">
        <v>699</v>
      </c>
      <c r="J120" s="6" t="s">
        <v>699</v>
      </c>
      <c r="P120" s="9"/>
      <c r="Q120" s="11"/>
    </row>
    <row r="121" spans="4:17" x14ac:dyDescent="0.2">
      <c r="D121" s="5" t="s">
        <v>579</v>
      </c>
      <c r="E121" s="5" t="s">
        <v>136</v>
      </c>
      <c r="F121" s="5" t="s">
        <v>831</v>
      </c>
      <c r="G121" s="6" t="s">
        <v>70</v>
      </c>
      <c r="H121" s="6" t="s">
        <v>390</v>
      </c>
      <c r="I121" s="6" t="s">
        <v>182</v>
      </c>
      <c r="J121" s="6" t="s">
        <v>182</v>
      </c>
      <c r="P121" s="9"/>
      <c r="Q121" s="11"/>
    </row>
    <row r="122" spans="4:17" ht="22.5" x14ac:dyDescent="0.2">
      <c r="D122" s="5" t="s">
        <v>579</v>
      </c>
      <c r="E122" s="5" t="s">
        <v>136</v>
      </c>
      <c r="F122" s="5" t="s">
        <v>636</v>
      </c>
      <c r="G122" s="6" t="s">
        <v>70</v>
      </c>
      <c r="H122" s="6" t="s">
        <v>390</v>
      </c>
      <c r="I122" s="6" t="s">
        <v>628</v>
      </c>
      <c r="J122" s="6" t="s">
        <v>583</v>
      </c>
      <c r="P122" s="9"/>
      <c r="Q122" s="11"/>
    </row>
    <row r="123" spans="4:17" ht="22.5" x14ac:dyDescent="0.2">
      <c r="D123" s="5" t="s">
        <v>579</v>
      </c>
      <c r="E123" s="5" t="s">
        <v>94</v>
      </c>
      <c r="F123" s="5" t="s">
        <v>385</v>
      </c>
      <c r="G123" s="6" t="s">
        <v>70</v>
      </c>
      <c r="H123" s="6" t="s">
        <v>390</v>
      </c>
      <c r="I123" s="6" t="s">
        <v>628</v>
      </c>
      <c r="J123" s="6" t="s">
        <v>632</v>
      </c>
      <c r="P123" s="9"/>
      <c r="Q123" s="11"/>
    </row>
    <row r="124" spans="4:17" ht="22.5" x14ac:dyDescent="0.2">
      <c r="D124" s="5" t="s">
        <v>579</v>
      </c>
      <c r="E124" s="5" t="s">
        <v>94</v>
      </c>
      <c r="F124" s="5" t="s">
        <v>678</v>
      </c>
      <c r="G124" s="6" t="s">
        <v>70</v>
      </c>
      <c r="H124" s="6" t="s">
        <v>390</v>
      </c>
      <c r="I124" s="6" t="s">
        <v>628</v>
      </c>
      <c r="J124" s="6" t="s">
        <v>846</v>
      </c>
      <c r="P124" s="9"/>
      <c r="Q124" s="11"/>
    </row>
    <row r="125" spans="4:17" ht="22.5" x14ac:dyDescent="0.2">
      <c r="D125" s="5" t="s">
        <v>579</v>
      </c>
      <c r="E125" s="5" t="s">
        <v>94</v>
      </c>
      <c r="F125" s="5" t="s">
        <v>144</v>
      </c>
      <c r="G125" s="6" t="s">
        <v>70</v>
      </c>
      <c r="H125" s="6" t="s">
        <v>390</v>
      </c>
      <c r="I125" s="6" t="s">
        <v>628</v>
      </c>
      <c r="J125" s="6" t="s">
        <v>628</v>
      </c>
      <c r="P125" s="9"/>
      <c r="Q125" s="11"/>
    </row>
    <row r="126" spans="4:17" ht="22.5" x14ac:dyDescent="0.2">
      <c r="D126" s="5" t="s">
        <v>579</v>
      </c>
      <c r="E126" s="5" t="s">
        <v>94</v>
      </c>
      <c r="F126" s="5" t="s">
        <v>254</v>
      </c>
      <c r="G126" s="6" t="s">
        <v>70</v>
      </c>
      <c r="H126" s="6" t="s">
        <v>390</v>
      </c>
      <c r="I126" s="6" t="s">
        <v>150</v>
      </c>
      <c r="J126" s="6" t="s">
        <v>414</v>
      </c>
      <c r="P126" s="9"/>
      <c r="Q126" s="11"/>
    </row>
    <row r="127" spans="4:17" ht="22.5" x14ac:dyDescent="0.2">
      <c r="D127" s="5" t="s">
        <v>579</v>
      </c>
      <c r="E127" s="5" t="s">
        <v>94</v>
      </c>
      <c r="F127" s="5" t="s">
        <v>477</v>
      </c>
      <c r="G127" s="6" t="s">
        <v>70</v>
      </c>
      <c r="H127" s="6" t="s">
        <v>390</v>
      </c>
      <c r="I127" s="6" t="s">
        <v>150</v>
      </c>
      <c r="J127" s="6" t="s">
        <v>609</v>
      </c>
      <c r="P127" s="9"/>
      <c r="Q127" s="11"/>
    </row>
    <row r="128" spans="4:17" ht="22.5" x14ac:dyDescent="0.2">
      <c r="D128" s="5" t="s">
        <v>579</v>
      </c>
      <c r="E128" s="5" t="s">
        <v>94</v>
      </c>
      <c r="F128" s="5" t="s">
        <v>723</v>
      </c>
      <c r="G128" s="6" t="s">
        <v>70</v>
      </c>
      <c r="H128" s="6" t="s">
        <v>390</v>
      </c>
      <c r="I128" s="6" t="s">
        <v>150</v>
      </c>
      <c r="J128" s="6" t="s">
        <v>501</v>
      </c>
      <c r="P128" s="9"/>
      <c r="Q128" s="11"/>
    </row>
    <row r="129" spans="4:17" ht="22.5" x14ac:dyDescent="0.2">
      <c r="D129" s="5" t="s">
        <v>798</v>
      </c>
      <c r="E129" s="5" t="s">
        <v>343</v>
      </c>
      <c r="F129" s="5" t="s">
        <v>343</v>
      </c>
      <c r="G129" s="6" t="s">
        <v>70</v>
      </c>
      <c r="H129" s="6" t="s">
        <v>390</v>
      </c>
      <c r="I129" s="6" t="s">
        <v>150</v>
      </c>
      <c r="J129" s="6" t="s">
        <v>301</v>
      </c>
      <c r="P129" s="9"/>
      <c r="Q129" s="11"/>
    </row>
    <row r="130" spans="4:17" ht="22.5" x14ac:dyDescent="0.2">
      <c r="D130" s="5" t="s">
        <v>798</v>
      </c>
      <c r="E130" s="5" t="s">
        <v>343</v>
      </c>
      <c r="F130" s="5" t="s">
        <v>141</v>
      </c>
      <c r="G130" s="6" t="s">
        <v>70</v>
      </c>
      <c r="H130" s="6" t="s">
        <v>390</v>
      </c>
      <c r="I130" s="6" t="s">
        <v>150</v>
      </c>
      <c r="J130" s="6" t="s">
        <v>830</v>
      </c>
      <c r="P130" s="9"/>
      <c r="Q130" s="11"/>
    </row>
    <row r="131" spans="4:17" ht="22.5" x14ac:dyDescent="0.2">
      <c r="D131" s="5" t="s">
        <v>798</v>
      </c>
      <c r="E131" s="5" t="s">
        <v>343</v>
      </c>
      <c r="F131" s="5" t="s">
        <v>106</v>
      </c>
      <c r="G131" s="6" t="s">
        <v>70</v>
      </c>
      <c r="H131" s="6" t="s">
        <v>390</v>
      </c>
      <c r="I131" s="6" t="s">
        <v>150</v>
      </c>
      <c r="J131" s="6" t="s">
        <v>150</v>
      </c>
      <c r="P131" s="9"/>
      <c r="Q131" s="11"/>
    </row>
    <row r="132" spans="4:17" x14ac:dyDescent="0.2">
      <c r="D132" s="5" t="s">
        <v>798</v>
      </c>
      <c r="E132" s="5" t="s">
        <v>20</v>
      </c>
      <c r="F132" s="5" t="s">
        <v>553</v>
      </c>
      <c r="G132" s="6" t="s">
        <v>70</v>
      </c>
      <c r="H132" s="6" t="s">
        <v>390</v>
      </c>
      <c r="I132" s="6" t="s">
        <v>653</v>
      </c>
      <c r="J132" s="6" t="s">
        <v>677</v>
      </c>
      <c r="P132" s="9"/>
      <c r="Q132" s="11"/>
    </row>
    <row r="133" spans="4:17" x14ac:dyDescent="0.2">
      <c r="D133" s="5" t="s">
        <v>798</v>
      </c>
      <c r="E133" s="5" t="s">
        <v>20</v>
      </c>
      <c r="F133" s="5" t="s">
        <v>165</v>
      </c>
      <c r="G133" s="6" t="s">
        <v>70</v>
      </c>
      <c r="H133" s="6" t="s">
        <v>390</v>
      </c>
      <c r="I133" s="6" t="s">
        <v>653</v>
      </c>
      <c r="J133" s="6" t="s">
        <v>653</v>
      </c>
      <c r="P133" s="9"/>
      <c r="Q133" s="11"/>
    </row>
    <row r="134" spans="4:17" ht="22.5" x14ac:dyDescent="0.2">
      <c r="D134" s="5" t="s">
        <v>798</v>
      </c>
      <c r="E134" s="5" t="s">
        <v>481</v>
      </c>
      <c r="F134" s="5" t="s">
        <v>819</v>
      </c>
      <c r="G134" s="6" t="s">
        <v>70</v>
      </c>
      <c r="H134" s="6" t="s">
        <v>390</v>
      </c>
      <c r="I134" s="6" t="s">
        <v>115</v>
      </c>
      <c r="J134" s="6" t="s">
        <v>115</v>
      </c>
      <c r="P134" s="9"/>
      <c r="Q134" s="11"/>
    </row>
    <row r="135" spans="4:17" x14ac:dyDescent="0.2">
      <c r="D135" s="5" t="s">
        <v>798</v>
      </c>
      <c r="E135" s="5" t="s">
        <v>481</v>
      </c>
      <c r="F135" s="5" t="s">
        <v>805</v>
      </c>
      <c r="G135" s="6" t="s">
        <v>70</v>
      </c>
      <c r="H135" s="6" t="s">
        <v>390</v>
      </c>
      <c r="I135" s="6" t="s">
        <v>402</v>
      </c>
      <c r="J135" s="6" t="s">
        <v>341</v>
      </c>
      <c r="P135" s="9"/>
      <c r="Q135" s="11"/>
    </row>
    <row r="136" spans="4:17" x14ac:dyDescent="0.2">
      <c r="D136" s="5" t="s">
        <v>749</v>
      </c>
      <c r="E136" s="5" t="s">
        <v>432</v>
      </c>
      <c r="F136" s="5" t="s">
        <v>432</v>
      </c>
      <c r="G136" s="6" t="s">
        <v>70</v>
      </c>
      <c r="H136" s="6" t="s">
        <v>390</v>
      </c>
      <c r="I136" s="6" t="s">
        <v>402</v>
      </c>
      <c r="J136" s="6" t="s">
        <v>544</v>
      </c>
      <c r="P136" s="9"/>
      <c r="Q136" s="11"/>
    </row>
    <row r="137" spans="4:17" x14ac:dyDescent="0.2">
      <c r="D137" s="5" t="s">
        <v>749</v>
      </c>
      <c r="E137" s="5" t="s">
        <v>432</v>
      </c>
      <c r="F137" s="5" t="s">
        <v>773</v>
      </c>
      <c r="G137" s="6" t="s">
        <v>70</v>
      </c>
      <c r="H137" s="6" t="s">
        <v>390</v>
      </c>
      <c r="I137" s="6" t="s">
        <v>402</v>
      </c>
      <c r="J137" s="6" t="s">
        <v>402</v>
      </c>
      <c r="P137" s="9"/>
      <c r="Q137" s="11"/>
    </row>
    <row r="138" spans="4:17" ht="22.5" x14ac:dyDescent="0.2">
      <c r="D138" s="5" t="s">
        <v>749</v>
      </c>
      <c r="E138" s="5" t="s">
        <v>432</v>
      </c>
      <c r="F138" s="5" t="s">
        <v>619</v>
      </c>
      <c r="G138" s="6" t="s">
        <v>357</v>
      </c>
      <c r="H138" s="6" t="s">
        <v>826</v>
      </c>
      <c r="I138" s="6" t="s">
        <v>853</v>
      </c>
      <c r="J138" s="6" t="s">
        <v>853</v>
      </c>
      <c r="P138" s="9"/>
      <c r="Q138" s="11"/>
    </row>
    <row r="139" spans="4:17" ht="22.5" x14ac:dyDescent="0.2">
      <c r="D139" s="5" t="s">
        <v>749</v>
      </c>
      <c r="E139" s="5" t="s">
        <v>432</v>
      </c>
      <c r="F139" s="5" t="s">
        <v>391</v>
      </c>
      <c r="G139" s="6" t="s">
        <v>357</v>
      </c>
      <c r="H139" s="6" t="s">
        <v>826</v>
      </c>
      <c r="I139" s="6" t="s">
        <v>853</v>
      </c>
      <c r="J139" s="6" t="s">
        <v>17</v>
      </c>
      <c r="P139" s="9"/>
      <c r="Q139" s="11"/>
    </row>
    <row r="140" spans="4:17" ht="22.5" x14ac:dyDescent="0.2">
      <c r="D140" s="5" t="s">
        <v>749</v>
      </c>
      <c r="E140" s="5" t="s">
        <v>432</v>
      </c>
      <c r="F140" s="5" t="s">
        <v>519</v>
      </c>
      <c r="G140" s="6" t="s">
        <v>357</v>
      </c>
      <c r="H140" s="6" t="s">
        <v>826</v>
      </c>
      <c r="I140" s="6" t="s">
        <v>853</v>
      </c>
      <c r="J140" s="6" t="s">
        <v>588</v>
      </c>
      <c r="P140" s="9"/>
      <c r="Q140" s="11"/>
    </row>
    <row r="141" spans="4:17" ht="22.5" x14ac:dyDescent="0.2">
      <c r="D141" s="5" t="s">
        <v>749</v>
      </c>
      <c r="E141" s="5" t="s">
        <v>432</v>
      </c>
      <c r="F141" s="5" t="s">
        <v>817</v>
      </c>
      <c r="G141" s="6" t="s">
        <v>357</v>
      </c>
      <c r="H141" s="6" t="s">
        <v>826</v>
      </c>
      <c r="I141" s="6" t="s">
        <v>264</v>
      </c>
      <c r="J141" s="6" t="s">
        <v>793</v>
      </c>
      <c r="P141" s="9"/>
      <c r="Q141" s="11"/>
    </row>
    <row r="142" spans="4:17" ht="22.5" x14ac:dyDescent="0.2">
      <c r="D142" s="5" t="s">
        <v>749</v>
      </c>
      <c r="E142" s="5" t="s">
        <v>750</v>
      </c>
      <c r="F142" s="5" t="s">
        <v>143</v>
      </c>
      <c r="G142" s="6" t="s">
        <v>357</v>
      </c>
      <c r="H142" s="6" t="s">
        <v>826</v>
      </c>
      <c r="I142" s="6" t="s">
        <v>264</v>
      </c>
      <c r="J142" s="6" t="s">
        <v>264</v>
      </c>
      <c r="P142" s="9"/>
      <c r="Q142" s="11"/>
    </row>
    <row r="143" spans="4:17" ht="22.5" x14ac:dyDescent="0.2">
      <c r="D143" s="5" t="s">
        <v>749</v>
      </c>
      <c r="E143" s="5" t="s">
        <v>750</v>
      </c>
      <c r="F143" s="5" t="s">
        <v>818</v>
      </c>
      <c r="G143" s="6" t="s">
        <v>357</v>
      </c>
      <c r="H143" s="6" t="s">
        <v>826</v>
      </c>
      <c r="I143" s="6" t="s">
        <v>264</v>
      </c>
      <c r="J143" s="6" t="s">
        <v>116</v>
      </c>
      <c r="P143" s="9"/>
      <c r="Q143" s="11"/>
    </row>
    <row r="144" spans="4:17" ht="22.5" x14ac:dyDescent="0.2">
      <c r="D144" s="5" t="s">
        <v>749</v>
      </c>
      <c r="E144" s="5" t="s">
        <v>750</v>
      </c>
      <c r="F144" s="5" t="s">
        <v>127</v>
      </c>
      <c r="G144" s="6" t="s">
        <v>357</v>
      </c>
      <c r="H144" s="6" t="s">
        <v>826</v>
      </c>
      <c r="I144" s="6" t="s">
        <v>841</v>
      </c>
      <c r="J144" s="6" t="s">
        <v>841</v>
      </c>
      <c r="P144" s="9"/>
      <c r="Q144" s="11"/>
    </row>
    <row r="145" spans="4:17" ht="22.5" x14ac:dyDescent="0.2">
      <c r="D145" s="5" t="s">
        <v>749</v>
      </c>
      <c r="E145" s="5" t="s">
        <v>381</v>
      </c>
      <c r="F145" s="5" t="s">
        <v>381</v>
      </c>
      <c r="G145" s="6" t="s">
        <v>357</v>
      </c>
      <c r="H145" s="6" t="s">
        <v>826</v>
      </c>
      <c r="I145" s="6" t="s">
        <v>841</v>
      </c>
      <c r="J145" s="6" t="s">
        <v>669</v>
      </c>
      <c r="P145" s="9"/>
      <c r="Q145" s="11"/>
    </row>
    <row r="146" spans="4:17" ht="22.5" x14ac:dyDescent="0.2">
      <c r="D146" s="5" t="s">
        <v>749</v>
      </c>
      <c r="E146" s="5" t="s">
        <v>381</v>
      </c>
      <c r="F146" s="5" t="s">
        <v>314</v>
      </c>
      <c r="G146" s="6" t="s">
        <v>357</v>
      </c>
      <c r="H146" s="6" t="s">
        <v>826</v>
      </c>
      <c r="I146" s="6" t="s">
        <v>41</v>
      </c>
      <c r="J146" s="6" t="s">
        <v>425</v>
      </c>
      <c r="P146" s="9"/>
      <c r="Q146" s="11"/>
    </row>
    <row r="147" spans="4:17" ht="22.5" x14ac:dyDescent="0.2">
      <c r="D147" s="5" t="s">
        <v>749</v>
      </c>
      <c r="E147" s="5" t="s">
        <v>381</v>
      </c>
      <c r="F147" s="5" t="s">
        <v>710</v>
      </c>
      <c r="G147" s="6" t="s">
        <v>357</v>
      </c>
      <c r="H147" s="6" t="s">
        <v>826</v>
      </c>
      <c r="I147" s="6" t="s">
        <v>41</v>
      </c>
      <c r="J147" s="6" t="s">
        <v>41</v>
      </c>
      <c r="P147" s="9"/>
      <c r="Q147" s="11"/>
    </row>
    <row r="148" spans="4:17" ht="22.5" x14ac:dyDescent="0.2">
      <c r="D148" s="5" t="s">
        <v>749</v>
      </c>
      <c r="E148" s="5" t="s">
        <v>381</v>
      </c>
      <c r="F148" s="5" t="s">
        <v>192</v>
      </c>
      <c r="G148" s="6" t="s">
        <v>357</v>
      </c>
      <c r="H148" s="6" t="s">
        <v>826</v>
      </c>
      <c r="I148" s="6" t="s">
        <v>41</v>
      </c>
      <c r="J148" s="6" t="s">
        <v>746</v>
      </c>
      <c r="P148" s="9"/>
      <c r="Q148" s="11"/>
    </row>
    <row r="149" spans="4:17" x14ac:dyDescent="0.2">
      <c r="D149" s="5" t="s">
        <v>749</v>
      </c>
      <c r="E149" s="5" t="s">
        <v>381</v>
      </c>
      <c r="F149" s="5" t="s">
        <v>806</v>
      </c>
      <c r="G149" s="6" t="s">
        <v>357</v>
      </c>
      <c r="H149" s="6" t="s">
        <v>101</v>
      </c>
      <c r="I149" s="6" t="s">
        <v>549</v>
      </c>
      <c r="J149" s="6" t="s">
        <v>569</v>
      </c>
      <c r="P149" s="9"/>
      <c r="Q149" s="11"/>
    </row>
    <row r="150" spans="4:17" x14ac:dyDescent="0.2">
      <c r="D150" s="5" t="s">
        <v>122</v>
      </c>
      <c r="E150" s="5" t="s">
        <v>507</v>
      </c>
      <c r="F150" s="5" t="s">
        <v>507</v>
      </c>
      <c r="G150" s="6" t="s">
        <v>357</v>
      </c>
      <c r="H150" s="6" t="s">
        <v>101</v>
      </c>
      <c r="I150" s="6" t="s">
        <v>549</v>
      </c>
      <c r="J150" s="6" t="s">
        <v>549</v>
      </c>
      <c r="P150" s="9"/>
      <c r="Q150" s="11"/>
    </row>
    <row r="151" spans="4:17" x14ac:dyDescent="0.2">
      <c r="D151" s="5" t="s">
        <v>122</v>
      </c>
      <c r="E151" s="5" t="s">
        <v>670</v>
      </c>
      <c r="F151" s="5" t="s">
        <v>195</v>
      </c>
      <c r="G151" s="6" t="s">
        <v>357</v>
      </c>
      <c r="H151" s="6" t="s">
        <v>101</v>
      </c>
      <c r="I151" s="6" t="s">
        <v>549</v>
      </c>
      <c r="J151" s="6" t="s">
        <v>396</v>
      </c>
      <c r="P151" s="9"/>
      <c r="Q151" s="11"/>
    </row>
    <row r="152" spans="4:17" x14ac:dyDescent="0.2">
      <c r="D152" s="5" t="s">
        <v>122</v>
      </c>
      <c r="E152" s="5" t="s">
        <v>670</v>
      </c>
      <c r="F152" s="5" t="s">
        <v>197</v>
      </c>
      <c r="G152" s="6" t="s">
        <v>357</v>
      </c>
      <c r="H152" s="6" t="s">
        <v>101</v>
      </c>
      <c r="I152" s="6" t="s">
        <v>549</v>
      </c>
      <c r="J152" s="6" t="s">
        <v>442</v>
      </c>
      <c r="P152" s="9"/>
      <c r="Q152" s="11"/>
    </row>
    <row r="153" spans="4:17" x14ac:dyDescent="0.2">
      <c r="D153" s="5" t="s">
        <v>122</v>
      </c>
      <c r="E153" s="5" t="s">
        <v>670</v>
      </c>
      <c r="F153" s="5" t="s">
        <v>266</v>
      </c>
      <c r="G153" s="6" t="s">
        <v>357</v>
      </c>
      <c r="H153" s="6" t="s">
        <v>101</v>
      </c>
      <c r="I153" s="6" t="s">
        <v>549</v>
      </c>
      <c r="J153" s="6" t="s">
        <v>286</v>
      </c>
      <c r="P153" s="9"/>
      <c r="Q153" s="11"/>
    </row>
    <row r="154" spans="4:17" x14ac:dyDescent="0.2">
      <c r="D154" s="5" t="s">
        <v>122</v>
      </c>
      <c r="E154" s="5" t="s">
        <v>670</v>
      </c>
      <c r="F154" s="5" t="s">
        <v>265</v>
      </c>
      <c r="G154" s="6" t="s">
        <v>357</v>
      </c>
      <c r="H154" s="6" t="s">
        <v>101</v>
      </c>
      <c r="I154" s="6" t="s">
        <v>549</v>
      </c>
      <c r="J154" s="6" t="s">
        <v>568</v>
      </c>
      <c r="P154" s="9"/>
      <c r="Q154" s="11"/>
    </row>
    <row r="155" spans="4:17" x14ac:dyDescent="0.2">
      <c r="D155" s="5" t="s">
        <v>122</v>
      </c>
      <c r="E155" s="5" t="s">
        <v>670</v>
      </c>
      <c r="F155" s="5" t="s">
        <v>204</v>
      </c>
      <c r="G155" s="6" t="s">
        <v>357</v>
      </c>
      <c r="H155" s="6" t="s">
        <v>101</v>
      </c>
      <c r="I155" s="6" t="s">
        <v>257</v>
      </c>
      <c r="J155" s="6" t="s">
        <v>257</v>
      </c>
      <c r="P155" s="9"/>
      <c r="Q155" s="11"/>
    </row>
    <row r="156" spans="4:17" x14ac:dyDescent="0.2">
      <c r="D156" s="5" t="s">
        <v>122</v>
      </c>
      <c r="E156" s="5" t="s">
        <v>670</v>
      </c>
      <c r="F156" s="5" t="s">
        <v>666</v>
      </c>
      <c r="G156" s="6" t="s">
        <v>357</v>
      </c>
      <c r="H156" s="6" t="s">
        <v>101</v>
      </c>
      <c r="I156" s="6" t="s">
        <v>468</v>
      </c>
      <c r="J156" s="6" t="s">
        <v>231</v>
      </c>
      <c r="P156" s="9"/>
      <c r="Q156" s="11"/>
    </row>
    <row r="157" spans="4:17" x14ac:dyDescent="0.2">
      <c r="D157" s="5" t="s">
        <v>122</v>
      </c>
      <c r="E157" s="5" t="s">
        <v>670</v>
      </c>
      <c r="F157" s="5" t="s">
        <v>524</v>
      </c>
      <c r="G157" s="6" t="s">
        <v>357</v>
      </c>
      <c r="H157" s="6" t="s">
        <v>101</v>
      </c>
      <c r="I157" s="6" t="s">
        <v>468</v>
      </c>
      <c r="J157" s="6" t="s">
        <v>468</v>
      </c>
      <c r="P157" s="9"/>
      <c r="Q157" s="11"/>
    </row>
    <row r="158" spans="4:17" x14ac:dyDescent="0.2">
      <c r="G158" s="6" t="s">
        <v>357</v>
      </c>
      <c r="H158" s="6" t="s">
        <v>101</v>
      </c>
      <c r="I158" s="6" t="s">
        <v>468</v>
      </c>
      <c r="J158" s="6" t="s">
        <v>679</v>
      </c>
      <c r="P158" s="9"/>
      <c r="Q158" s="11"/>
    </row>
    <row r="159" spans="4:17" ht="22.5" x14ac:dyDescent="0.2">
      <c r="G159" s="6" t="s">
        <v>357</v>
      </c>
      <c r="H159" s="6" t="s">
        <v>261</v>
      </c>
      <c r="I159" s="6" t="s">
        <v>0</v>
      </c>
      <c r="J159" s="6" t="s">
        <v>0</v>
      </c>
      <c r="P159" s="9"/>
      <c r="Q159" s="11"/>
    </row>
    <row r="160" spans="4:17" ht="22.5" x14ac:dyDescent="0.2">
      <c r="G160" s="6" t="s">
        <v>357</v>
      </c>
      <c r="H160" s="6" t="s">
        <v>261</v>
      </c>
      <c r="I160" s="6" t="s">
        <v>0</v>
      </c>
      <c r="J160" s="6" t="s">
        <v>785</v>
      </c>
      <c r="P160" s="9"/>
      <c r="Q160" s="11"/>
    </row>
    <row r="161" spans="7:17" ht="22.5" x14ac:dyDescent="0.2">
      <c r="G161" s="6" t="s">
        <v>357</v>
      </c>
      <c r="H161" s="6" t="s">
        <v>261</v>
      </c>
      <c r="I161" s="6" t="s">
        <v>73</v>
      </c>
      <c r="J161" s="6" t="s">
        <v>82</v>
      </c>
      <c r="P161" s="9"/>
      <c r="Q161" s="11"/>
    </row>
    <row r="162" spans="7:17" ht="22.5" x14ac:dyDescent="0.2">
      <c r="G162" s="6" t="s">
        <v>357</v>
      </c>
      <c r="H162" s="6" t="s">
        <v>261</v>
      </c>
      <c r="I162" s="6" t="s">
        <v>73</v>
      </c>
      <c r="J162" s="6" t="s">
        <v>40</v>
      </c>
      <c r="P162" s="9"/>
      <c r="Q162" s="11"/>
    </row>
    <row r="163" spans="7:17" ht="22.5" x14ac:dyDescent="0.2">
      <c r="G163" s="6" t="s">
        <v>357</v>
      </c>
      <c r="H163" s="6" t="s">
        <v>261</v>
      </c>
      <c r="I163" s="6" t="s">
        <v>73</v>
      </c>
      <c r="J163" s="6" t="s">
        <v>73</v>
      </c>
      <c r="P163" s="9"/>
      <c r="Q163" s="11"/>
    </row>
    <row r="164" spans="7:17" ht="22.5" x14ac:dyDescent="0.2">
      <c r="G164" s="6" t="s">
        <v>357</v>
      </c>
      <c r="H164" s="6" t="s">
        <v>261</v>
      </c>
      <c r="I164" s="6" t="s">
        <v>73</v>
      </c>
      <c r="J164" s="6" t="s">
        <v>172</v>
      </c>
      <c r="P164" s="9"/>
      <c r="Q164" s="11"/>
    </row>
    <row r="165" spans="7:17" ht="22.5" x14ac:dyDescent="0.2">
      <c r="G165" s="6" t="s">
        <v>357</v>
      </c>
      <c r="H165" s="6" t="s">
        <v>261</v>
      </c>
      <c r="I165" s="6" t="s">
        <v>73</v>
      </c>
      <c r="J165" s="6" t="s">
        <v>684</v>
      </c>
      <c r="P165" s="9"/>
      <c r="Q165" s="11"/>
    </row>
    <row r="166" spans="7:17" ht="22.5" x14ac:dyDescent="0.2">
      <c r="G166" s="6" t="s">
        <v>357</v>
      </c>
      <c r="H166" s="6" t="s">
        <v>261</v>
      </c>
      <c r="I166" s="6" t="s">
        <v>437</v>
      </c>
      <c r="J166" s="6" t="s">
        <v>437</v>
      </c>
      <c r="P166" s="9"/>
      <c r="Q166" s="11"/>
    </row>
    <row r="167" spans="7:17" ht="22.5" x14ac:dyDescent="0.2">
      <c r="G167" s="6" t="s">
        <v>357</v>
      </c>
      <c r="H167" s="6" t="s">
        <v>261</v>
      </c>
      <c r="I167" s="6" t="s">
        <v>644</v>
      </c>
      <c r="J167" s="6" t="s">
        <v>423</v>
      </c>
      <c r="P167" s="9"/>
      <c r="Q167" s="11"/>
    </row>
    <row r="168" spans="7:17" ht="22.5" x14ac:dyDescent="0.2">
      <c r="G168" s="6" t="s">
        <v>357</v>
      </c>
      <c r="H168" s="6" t="s">
        <v>261</v>
      </c>
      <c r="I168" s="6" t="s">
        <v>644</v>
      </c>
      <c r="J168" s="6" t="s">
        <v>674</v>
      </c>
      <c r="P168" s="9"/>
      <c r="Q168" s="11"/>
    </row>
    <row r="169" spans="7:17" ht="22.5" x14ac:dyDescent="0.2">
      <c r="G169" s="6" t="s">
        <v>357</v>
      </c>
      <c r="H169" s="6" t="s">
        <v>261</v>
      </c>
      <c r="I169" s="6" t="s">
        <v>644</v>
      </c>
      <c r="J169" s="6" t="s">
        <v>325</v>
      </c>
      <c r="P169" s="9"/>
      <c r="Q169" s="11"/>
    </row>
    <row r="170" spans="7:17" ht="22.5" x14ac:dyDescent="0.2">
      <c r="G170" s="6" t="s">
        <v>357</v>
      </c>
      <c r="H170" s="6" t="s">
        <v>261</v>
      </c>
      <c r="I170" s="6" t="s">
        <v>644</v>
      </c>
      <c r="J170" s="6" t="s">
        <v>644</v>
      </c>
      <c r="P170" s="9"/>
      <c r="Q170" s="11"/>
    </row>
    <row r="171" spans="7:17" x14ac:dyDescent="0.2">
      <c r="G171" s="6" t="s">
        <v>579</v>
      </c>
      <c r="H171" s="6" t="s">
        <v>94</v>
      </c>
      <c r="I171" s="6" t="s">
        <v>678</v>
      </c>
      <c r="J171" s="6" t="s">
        <v>678</v>
      </c>
      <c r="P171" s="9"/>
      <c r="Q171" s="11"/>
    </row>
    <row r="172" spans="7:17" x14ac:dyDescent="0.2">
      <c r="G172" s="6" t="s">
        <v>579</v>
      </c>
      <c r="H172" s="6" t="s">
        <v>94</v>
      </c>
      <c r="I172" s="6" t="s">
        <v>678</v>
      </c>
      <c r="J172" s="6" t="s">
        <v>269</v>
      </c>
      <c r="P172" s="9"/>
      <c r="Q172" s="11"/>
    </row>
    <row r="173" spans="7:17" x14ac:dyDescent="0.2">
      <c r="G173" s="6" t="s">
        <v>579</v>
      </c>
      <c r="H173" s="6" t="s">
        <v>94</v>
      </c>
      <c r="I173" s="6" t="s">
        <v>678</v>
      </c>
      <c r="J173" s="6" t="s">
        <v>227</v>
      </c>
      <c r="P173" s="9"/>
      <c r="Q173" s="11"/>
    </row>
    <row r="174" spans="7:17" x14ac:dyDescent="0.2">
      <c r="G174" s="6" t="s">
        <v>579</v>
      </c>
      <c r="H174" s="6" t="s">
        <v>94</v>
      </c>
      <c r="I174" s="6" t="s">
        <v>385</v>
      </c>
      <c r="J174" s="6" t="s">
        <v>385</v>
      </c>
      <c r="P174" s="9"/>
      <c r="Q174" s="11"/>
    </row>
    <row r="175" spans="7:17" x14ac:dyDescent="0.2">
      <c r="G175" s="6" t="s">
        <v>579</v>
      </c>
      <c r="H175" s="6" t="s">
        <v>94</v>
      </c>
      <c r="I175" s="6" t="s">
        <v>385</v>
      </c>
      <c r="J175" s="6" t="s">
        <v>411</v>
      </c>
      <c r="P175" s="9"/>
      <c r="Q175" s="11"/>
    </row>
    <row r="176" spans="7:17" x14ac:dyDescent="0.2">
      <c r="G176" s="6" t="s">
        <v>579</v>
      </c>
      <c r="H176" s="6" t="s">
        <v>94</v>
      </c>
      <c r="I176" s="6" t="s">
        <v>385</v>
      </c>
      <c r="J176" s="6" t="s">
        <v>429</v>
      </c>
      <c r="P176" s="9"/>
      <c r="Q176" s="11"/>
    </row>
    <row r="177" spans="7:17" x14ac:dyDescent="0.2">
      <c r="G177" s="6" t="s">
        <v>579</v>
      </c>
      <c r="H177" s="6" t="s">
        <v>94</v>
      </c>
      <c r="I177" s="6" t="s">
        <v>144</v>
      </c>
      <c r="J177" s="6" t="s">
        <v>144</v>
      </c>
      <c r="P177" s="9"/>
      <c r="Q177" s="11"/>
    </row>
    <row r="178" spans="7:17" x14ac:dyDescent="0.2">
      <c r="G178" s="6" t="s">
        <v>579</v>
      </c>
      <c r="H178" s="6" t="s">
        <v>94</v>
      </c>
      <c r="I178" s="6" t="s">
        <v>144</v>
      </c>
      <c r="J178" s="6" t="s">
        <v>184</v>
      </c>
      <c r="P178" s="9"/>
      <c r="Q178" s="11"/>
    </row>
    <row r="179" spans="7:17" x14ac:dyDescent="0.2">
      <c r="G179" s="6" t="s">
        <v>579</v>
      </c>
      <c r="H179" s="6" t="s">
        <v>94</v>
      </c>
      <c r="I179" s="6" t="s">
        <v>254</v>
      </c>
      <c r="J179" s="6" t="s">
        <v>254</v>
      </c>
      <c r="P179" s="9"/>
      <c r="Q179" s="11"/>
    </row>
    <row r="180" spans="7:17" x14ac:dyDescent="0.2">
      <c r="G180" s="6" t="s">
        <v>579</v>
      </c>
      <c r="H180" s="6" t="s">
        <v>94</v>
      </c>
      <c r="I180" s="6" t="s">
        <v>254</v>
      </c>
      <c r="J180" s="6" t="s">
        <v>515</v>
      </c>
      <c r="P180" s="9"/>
      <c r="Q180" s="11"/>
    </row>
    <row r="181" spans="7:17" x14ac:dyDescent="0.2">
      <c r="G181" s="6" t="s">
        <v>579</v>
      </c>
      <c r="H181" s="6" t="s">
        <v>94</v>
      </c>
      <c r="I181" s="6" t="s">
        <v>723</v>
      </c>
      <c r="J181" s="6" t="s">
        <v>723</v>
      </c>
      <c r="P181" s="9"/>
      <c r="Q181" s="11"/>
    </row>
    <row r="182" spans="7:17" x14ac:dyDescent="0.2">
      <c r="G182" s="6" t="s">
        <v>579</v>
      </c>
      <c r="H182" s="6" t="s">
        <v>94</v>
      </c>
      <c r="I182" s="6" t="s">
        <v>477</v>
      </c>
      <c r="J182" s="6" t="s">
        <v>477</v>
      </c>
      <c r="P182" s="9"/>
      <c r="Q182" s="11"/>
    </row>
    <row r="183" spans="7:17" x14ac:dyDescent="0.2">
      <c r="G183" s="6" t="s">
        <v>579</v>
      </c>
      <c r="H183" s="6" t="s">
        <v>94</v>
      </c>
      <c r="I183" s="6" t="s">
        <v>477</v>
      </c>
      <c r="J183" s="6" t="s">
        <v>86</v>
      </c>
      <c r="P183" s="9"/>
      <c r="Q183" s="11"/>
    </row>
    <row r="184" spans="7:17" x14ac:dyDescent="0.2">
      <c r="G184" s="6" t="s">
        <v>579</v>
      </c>
      <c r="H184" s="6" t="s">
        <v>136</v>
      </c>
      <c r="I184" s="6" t="s">
        <v>675</v>
      </c>
      <c r="J184" s="6" t="s">
        <v>737</v>
      </c>
      <c r="P184" s="9"/>
      <c r="Q184" s="11"/>
    </row>
    <row r="185" spans="7:17" x14ac:dyDescent="0.2">
      <c r="G185" s="6" t="s">
        <v>579</v>
      </c>
      <c r="H185" s="6" t="s">
        <v>136</v>
      </c>
      <c r="I185" s="6" t="s">
        <v>675</v>
      </c>
      <c r="J185" s="6" t="s">
        <v>675</v>
      </c>
      <c r="P185" s="9"/>
      <c r="Q185" s="11"/>
    </row>
    <row r="186" spans="7:17" x14ac:dyDescent="0.2">
      <c r="G186" s="6" t="s">
        <v>579</v>
      </c>
      <c r="H186" s="6" t="s">
        <v>136</v>
      </c>
      <c r="I186" s="6" t="s">
        <v>675</v>
      </c>
      <c r="J186" s="6" t="s">
        <v>476</v>
      </c>
      <c r="P186" s="9"/>
      <c r="Q186" s="11"/>
    </row>
    <row r="187" spans="7:17" x14ac:dyDescent="0.2">
      <c r="G187" s="6" t="s">
        <v>579</v>
      </c>
      <c r="H187" s="6" t="s">
        <v>136</v>
      </c>
      <c r="I187" s="6" t="s">
        <v>656</v>
      </c>
      <c r="J187" s="6" t="s">
        <v>430</v>
      </c>
    </row>
    <row r="188" spans="7:17" x14ac:dyDescent="0.2">
      <c r="G188" s="6" t="s">
        <v>579</v>
      </c>
      <c r="H188" s="6" t="s">
        <v>136</v>
      </c>
      <c r="I188" s="6" t="s">
        <v>656</v>
      </c>
      <c r="J188" s="6" t="s">
        <v>656</v>
      </c>
    </row>
    <row r="189" spans="7:17" x14ac:dyDescent="0.2">
      <c r="G189" s="6" t="s">
        <v>579</v>
      </c>
      <c r="H189" s="6" t="s">
        <v>136</v>
      </c>
      <c r="I189" s="6" t="s">
        <v>656</v>
      </c>
      <c r="J189" s="6" t="s">
        <v>401</v>
      </c>
    </row>
    <row r="190" spans="7:17" x14ac:dyDescent="0.2">
      <c r="G190" s="6" t="s">
        <v>579</v>
      </c>
      <c r="H190" s="6" t="s">
        <v>136</v>
      </c>
      <c r="I190" s="6" t="s">
        <v>463</v>
      </c>
      <c r="J190" s="6" t="s">
        <v>502</v>
      </c>
    </row>
    <row r="191" spans="7:17" x14ac:dyDescent="0.2">
      <c r="G191" s="6" t="s">
        <v>579</v>
      </c>
      <c r="H191" s="6" t="s">
        <v>136</v>
      </c>
      <c r="I191" s="6" t="s">
        <v>463</v>
      </c>
      <c r="J191" s="6" t="s">
        <v>463</v>
      </c>
    </row>
    <row r="192" spans="7:17" ht="22.5" x14ac:dyDescent="0.2">
      <c r="G192" s="6" t="s">
        <v>579</v>
      </c>
      <c r="H192" s="6" t="s">
        <v>136</v>
      </c>
      <c r="I192" s="6" t="s">
        <v>831</v>
      </c>
      <c r="J192" s="6" t="s">
        <v>79</v>
      </c>
    </row>
    <row r="193" spans="7:10" ht="22.5" x14ac:dyDescent="0.2">
      <c r="G193" s="6" t="s">
        <v>579</v>
      </c>
      <c r="H193" s="6" t="s">
        <v>136</v>
      </c>
      <c r="I193" s="6" t="s">
        <v>831</v>
      </c>
      <c r="J193" s="6" t="s">
        <v>831</v>
      </c>
    </row>
    <row r="194" spans="7:10" ht="22.5" x14ac:dyDescent="0.2">
      <c r="G194" s="6" t="s">
        <v>579</v>
      </c>
      <c r="H194" s="6" t="s">
        <v>136</v>
      </c>
      <c r="I194" s="6" t="s">
        <v>831</v>
      </c>
      <c r="J194" s="6" t="s">
        <v>338</v>
      </c>
    </row>
    <row r="195" spans="7:10" ht="22.5" x14ac:dyDescent="0.2">
      <c r="G195" s="6" t="s">
        <v>579</v>
      </c>
      <c r="H195" s="6" t="s">
        <v>136</v>
      </c>
      <c r="I195" s="6" t="s">
        <v>695</v>
      </c>
      <c r="J195" s="6" t="s">
        <v>147</v>
      </c>
    </row>
    <row r="196" spans="7:10" ht="22.5" x14ac:dyDescent="0.2">
      <c r="G196" s="6" t="s">
        <v>579</v>
      </c>
      <c r="H196" s="6" t="s">
        <v>136</v>
      </c>
      <c r="I196" s="6" t="s">
        <v>695</v>
      </c>
      <c r="J196" s="6" t="s">
        <v>184</v>
      </c>
    </row>
    <row r="197" spans="7:10" ht="22.5" x14ac:dyDescent="0.2">
      <c r="G197" s="6" t="s">
        <v>579</v>
      </c>
      <c r="H197" s="6" t="s">
        <v>136</v>
      </c>
      <c r="I197" s="6" t="s">
        <v>695</v>
      </c>
      <c r="J197" s="6" t="s">
        <v>638</v>
      </c>
    </row>
    <row r="198" spans="7:10" ht="22.5" x14ac:dyDescent="0.2">
      <c r="G198" s="6" t="s">
        <v>579</v>
      </c>
      <c r="H198" s="6" t="s">
        <v>136</v>
      </c>
      <c r="I198" s="6" t="s">
        <v>695</v>
      </c>
      <c r="J198" s="6" t="s">
        <v>201</v>
      </c>
    </row>
    <row r="199" spans="7:10" ht="22.5" x14ac:dyDescent="0.2">
      <c r="G199" s="6" t="s">
        <v>579</v>
      </c>
      <c r="H199" s="6" t="s">
        <v>136</v>
      </c>
      <c r="I199" s="6" t="s">
        <v>695</v>
      </c>
      <c r="J199" s="6" t="s">
        <v>408</v>
      </c>
    </row>
    <row r="200" spans="7:10" ht="22.5" x14ac:dyDescent="0.2">
      <c r="G200" s="6" t="s">
        <v>579</v>
      </c>
      <c r="H200" s="6" t="s">
        <v>136</v>
      </c>
      <c r="I200" s="6" t="s">
        <v>695</v>
      </c>
      <c r="J200" s="6" t="s">
        <v>113</v>
      </c>
    </row>
    <row r="201" spans="7:10" ht="22.5" x14ac:dyDescent="0.2">
      <c r="G201" s="6" t="s">
        <v>579</v>
      </c>
      <c r="H201" s="6" t="s">
        <v>136</v>
      </c>
      <c r="I201" s="6" t="s">
        <v>695</v>
      </c>
      <c r="J201" s="6" t="s">
        <v>562</v>
      </c>
    </row>
    <row r="202" spans="7:10" ht="22.5" x14ac:dyDescent="0.2">
      <c r="G202" s="6" t="s">
        <v>579</v>
      </c>
      <c r="H202" s="6" t="s">
        <v>136</v>
      </c>
      <c r="I202" s="6" t="s">
        <v>695</v>
      </c>
      <c r="J202" s="6" t="s">
        <v>849</v>
      </c>
    </row>
    <row r="203" spans="7:10" ht="22.5" x14ac:dyDescent="0.2">
      <c r="G203" s="6" t="s">
        <v>579</v>
      </c>
      <c r="H203" s="6" t="s">
        <v>136</v>
      </c>
      <c r="I203" s="6" t="s">
        <v>695</v>
      </c>
      <c r="J203" s="6" t="s">
        <v>473</v>
      </c>
    </row>
    <row r="204" spans="7:10" ht="22.5" x14ac:dyDescent="0.2">
      <c r="G204" s="6" t="s">
        <v>579</v>
      </c>
      <c r="H204" s="6" t="s">
        <v>136</v>
      </c>
      <c r="I204" s="6" t="s">
        <v>695</v>
      </c>
      <c r="J204" s="6" t="s">
        <v>713</v>
      </c>
    </row>
    <row r="205" spans="7:10" ht="22.5" x14ac:dyDescent="0.2">
      <c r="G205" s="6" t="s">
        <v>579</v>
      </c>
      <c r="H205" s="6" t="s">
        <v>136</v>
      </c>
      <c r="I205" s="6" t="s">
        <v>695</v>
      </c>
      <c r="J205" s="6" t="s">
        <v>695</v>
      </c>
    </row>
    <row r="206" spans="7:10" x14ac:dyDescent="0.2">
      <c r="G206" s="6" t="s">
        <v>579</v>
      </c>
      <c r="H206" s="6" t="s">
        <v>136</v>
      </c>
      <c r="I206" s="6" t="s">
        <v>636</v>
      </c>
      <c r="J206" s="6" t="s">
        <v>567</v>
      </c>
    </row>
    <row r="207" spans="7:10" x14ac:dyDescent="0.2">
      <c r="G207" s="6" t="s">
        <v>579</v>
      </c>
      <c r="H207" s="6" t="s">
        <v>136</v>
      </c>
      <c r="I207" s="6" t="s">
        <v>636</v>
      </c>
      <c r="J207" s="6" t="s">
        <v>636</v>
      </c>
    </row>
    <row r="208" spans="7:10" x14ac:dyDescent="0.2">
      <c r="G208" s="6" t="s">
        <v>263</v>
      </c>
      <c r="H208" s="6" t="s">
        <v>248</v>
      </c>
      <c r="I208" s="6" t="s">
        <v>660</v>
      </c>
      <c r="J208" s="6" t="s">
        <v>410</v>
      </c>
    </row>
    <row r="209" spans="7:10" x14ac:dyDescent="0.2">
      <c r="G209" s="6" t="s">
        <v>263</v>
      </c>
      <c r="H209" s="6" t="s">
        <v>248</v>
      </c>
      <c r="I209" s="6" t="s">
        <v>660</v>
      </c>
      <c r="J209" s="6" t="s">
        <v>660</v>
      </c>
    </row>
    <row r="210" spans="7:10" x14ac:dyDescent="0.2">
      <c r="G210" s="6" t="s">
        <v>263</v>
      </c>
      <c r="H210" s="6" t="s">
        <v>248</v>
      </c>
      <c r="I210" s="6" t="s">
        <v>322</v>
      </c>
      <c r="J210" s="6" t="s">
        <v>728</v>
      </c>
    </row>
    <row r="211" spans="7:10" x14ac:dyDescent="0.2">
      <c r="G211" s="6" t="s">
        <v>263</v>
      </c>
      <c r="H211" s="6" t="s">
        <v>248</v>
      </c>
      <c r="I211" s="6" t="s">
        <v>322</v>
      </c>
      <c r="J211" s="6" t="s">
        <v>322</v>
      </c>
    </row>
    <row r="212" spans="7:10" x14ac:dyDescent="0.2">
      <c r="G212" s="6" t="s">
        <v>263</v>
      </c>
      <c r="H212" s="6" t="s">
        <v>248</v>
      </c>
      <c r="I212" s="6" t="s">
        <v>550</v>
      </c>
      <c r="J212" s="6" t="s">
        <v>778</v>
      </c>
    </row>
    <row r="213" spans="7:10" x14ac:dyDescent="0.2">
      <c r="G213" s="6" t="s">
        <v>263</v>
      </c>
      <c r="H213" s="6" t="s">
        <v>248</v>
      </c>
      <c r="I213" s="6" t="s">
        <v>550</v>
      </c>
      <c r="J213" s="6" t="s">
        <v>550</v>
      </c>
    </row>
    <row r="214" spans="7:10" x14ac:dyDescent="0.2">
      <c r="G214" s="6" t="s">
        <v>263</v>
      </c>
      <c r="H214" s="6" t="s">
        <v>248</v>
      </c>
      <c r="I214" s="6" t="s">
        <v>249</v>
      </c>
      <c r="J214" s="6" t="s">
        <v>335</v>
      </c>
    </row>
    <row r="215" spans="7:10" x14ac:dyDescent="0.2">
      <c r="G215" s="6" t="s">
        <v>263</v>
      </c>
      <c r="H215" s="6" t="s">
        <v>248</v>
      </c>
      <c r="I215" s="6" t="s">
        <v>249</v>
      </c>
      <c r="J215" s="6" t="s">
        <v>807</v>
      </c>
    </row>
    <row r="216" spans="7:10" x14ac:dyDescent="0.2">
      <c r="G216" s="6" t="s">
        <v>263</v>
      </c>
      <c r="H216" s="6" t="s">
        <v>248</v>
      </c>
      <c r="I216" s="6" t="s">
        <v>249</v>
      </c>
      <c r="J216" s="6" t="s">
        <v>663</v>
      </c>
    </row>
    <row r="217" spans="7:10" x14ac:dyDescent="0.2">
      <c r="G217" s="6" t="s">
        <v>263</v>
      </c>
      <c r="H217" s="6" t="s">
        <v>248</v>
      </c>
      <c r="I217" s="6" t="s">
        <v>249</v>
      </c>
      <c r="J217" s="6" t="s">
        <v>462</v>
      </c>
    </row>
    <row r="218" spans="7:10" x14ac:dyDescent="0.2">
      <c r="G218" s="6" t="s">
        <v>263</v>
      </c>
      <c r="H218" s="6" t="s">
        <v>248</v>
      </c>
      <c r="I218" s="6" t="s">
        <v>249</v>
      </c>
      <c r="J218" s="6" t="s">
        <v>31</v>
      </c>
    </row>
    <row r="219" spans="7:10" x14ac:dyDescent="0.2">
      <c r="G219" s="6" t="s">
        <v>263</v>
      </c>
      <c r="H219" s="6" t="s">
        <v>248</v>
      </c>
      <c r="I219" s="6" t="s">
        <v>249</v>
      </c>
      <c r="J219" s="6" t="s">
        <v>249</v>
      </c>
    </row>
    <row r="220" spans="7:10" x14ac:dyDescent="0.2">
      <c r="G220" s="6" t="s">
        <v>263</v>
      </c>
      <c r="H220" s="6" t="s">
        <v>248</v>
      </c>
      <c r="I220" s="6" t="s">
        <v>249</v>
      </c>
      <c r="J220" s="6" t="s">
        <v>405</v>
      </c>
    </row>
    <row r="221" spans="7:10" x14ac:dyDescent="0.2">
      <c r="G221" s="6" t="s">
        <v>263</v>
      </c>
      <c r="H221" s="6" t="s">
        <v>248</v>
      </c>
      <c r="I221" s="6" t="s">
        <v>614</v>
      </c>
      <c r="J221" s="6" t="s">
        <v>614</v>
      </c>
    </row>
    <row r="222" spans="7:10" x14ac:dyDescent="0.2">
      <c r="G222" s="6" t="s">
        <v>263</v>
      </c>
      <c r="H222" s="6" t="s">
        <v>107</v>
      </c>
      <c r="I222" s="6" t="s">
        <v>311</v>
      </c>
      <c r="J222" s="6" t="s">
        <v>311</v>
      </c>
    </row>
    <row r="223" spans="7:10" x14ac:dyDescent="0.2">
      <c r="G223" s="6" t="s">
        <v>263</v>
      </c>
      <c r="H223" s="6" t="s">
        <v>107</v>
      </c>
      <c r="I223" s="6" t="s">
        <v>469</v>
      </c>
      <c r="J223" s="6" t="s">
        <v>469</v>
      </c>
    </row>
    <row r="224" spans="7:10" x14ac:dyDescent="0.2">
      <c r="G224" s="6" t="s">
        <v>263</v>
      </c>
      <c r="H224" s="6" t="s">
        <v>107</v>
      </c>
      <c r="I224" s="6" t="s">
        <v>708</v>
      </c>
      <c r="J224" s="6" t="s">
        <v>513</v>
      </c>
    </row>
    <row r="225" spans="7:10" x14ac:dyDescent="0.2">
      <c r="G225" s="6" t="s">
        <v>263</v>
      </c>
      <c r="H225" s="6" t="s">
        <v>107</v>
      </c>
      <c r="I225" s="6" t="s">
        <v>708</v>
      </c>
      <c r="J225" s="6" t="s">
        <v>708</v>
      </c>
    </row>
    <row r="226" spans="7:10" x14ac:dyDescent="0.2">
      <c r="G226" s="6" t="s">
        <v>263</v>
      </c>
      <c r="H226" s="6" t="s">
        <v>107</v>
      </c>
      <c r="I226" s="6" t="s">
        <v>453</v>
      </c>
      <c r="J226" s="6" t="s">
        <v>453</v>
      </c>
    </row>
    <row r="227" spans="7:10" x14ac:dyDescent="0.2">
      <c r="G227" s="6" t="s">
        <v>263</v>
      </c>
      <c r="H227" s="6" t="s">
        <v>107</v>
      </c>
      <c r="I227" s="6" t="s">
        <v>453</v>
      </c>
      <c r="J227" s="6" t="s">
        <v>22</v>
      </c>
    </row>
    <row r="228" spans="7:10" x14ac:dyDescent="0.2">
      <c r="G228" s="6" t="s">
        <v>263</v>
      </c>
      <c r="H228" s="6" t="s">
        <v>107</v>
      </c>
      <c r="I228" s="6" t="s">
        <v>242</v>
      </c>
      <c r="J228" s="6" t="s">
        <v>242</v>
      </c>
    </row>
    <row r="229" spans="7:10" x14ac:dyDescent="0.2">
      <c r="G229" s="6" t="s">
        <v>263</v>
      </c>
      <c r="H229" s="6" t="s">
        <v>107</v>
      </c>
      <c r="I229" s="6" t="s">
        <v>242</v>
      </c>
      <c r="J229" s="6" t="s">
        <v>370</v>
      </c>
    </row>
    <row r="230" spans="7:10" x14ac:dyDescent="0.2">
      <c r="G230" s="6" t="s">
        <v>263</v>
      </c>
      <c r="H230" s="6" t="s">
        <v>107</v>
      </c>
      <c r="I230" s="6" t="s">
        <v>498</v>
      </c>
      <c r="J230" s="6" t="s">
        <v>248</v>
      </c>
    </row>
    <row r="231" spans="7:10" x14ac:dyDescent="0.2">
      <c r="G231" s="6" t="s">
        <v>263</v>
      </c>
      <c r="H231" s="6" t="s">
        <v>107</v>
      </c>
      <c r="I231" s="6" t="s">
        <v>498</v>
      </c>
      <c r="J231" s="6" t="s">
        <v>498</v>
      </c>
    </row>
    <row r="232" spans="7:10" x14ac:dyDescent="0.2">
      <c r="G232" s="6" t="s">
        <v>263</v>
      </c>
      <c r="H232" s="6" t="s">
        <v>107</v>
      </c>
      <c r="I232" s="6" t="s">
        <v>180</v>
      </c>
      <c r="J232" s="6" t="s">
        <v>180</v>
      </c>
    </row>
    <row r="233" spans="7:10" x14ac:dyDescent="0.2">
      <c r="G233" s="6" t="s">
        <v>263</v>
      </c>
      <c r="H233" s="6" t="s">
        <v>107</v>
      </c>
      <c r="I233" s="6" t="s">
        <v>600</v>
      </c>
      <c r="J233" s="6" t="s">
        <v>112</v>
      </c>
    </row>
    <row r="234" spans="7:10" x14ac:dyDescent="0.2">
      <c r="G234" s="6" t="s">
        <v>263</v>
      </c>
      <c r="H234" s="6" t="s">
        <v>107</v>
      </c>
      <c r="I234" s="6" t="s">
        <v>600</v>
      </c>
      <c r="J234" s="6" t="s">
        <v>600</v>
      </c>
    </row>
    <row r="235" spans="7:10" x14ac:dyDescent="0.2">
      <c r="G235" s="6" t="s">
        <v>263</v>
      </c>
      <c r="H235" s="6" t="s">
        <v>107</v>
      </c>
      <c r="I235" s="6" t="s">
        <v>193</v>
      </c>
      <c r="J235" s="6" t="s">
        <v>193</v>
      </c>
    </row>
    <row r="236" spans="7:10" ht="22.5" x14ac:dyDescent="0.2">
      <c r="G236" s="6" t="s">
        <v>263</v>
      </c>
      <c r="H236" s="6" t="s">
        <v>107</v>
      </c>
      <c r="I236" s="6" t="s">
        <v>518</v>
      </c>
      <c r="J236" s="6" t="s">
        <v>218</v>
      </c>
    </row>
    <row r="237" spans="7:10" ht="22.5" x14ac:dyDescent="0.2">
      <c r="G237" s="6" t="s">
        <v>263</v>
      </c>
      <c r="H237" s="6" t="s">
        <v>107</v>
      </c>
      <c r="I237" s="6" t="s">
        <v>518</v>
      </c>
      <c r="J237" s="6" t="s">
        <v>312</v>
      </c>
    </row>
    <row r="238" spans="7:10" ht="22.5" x14ac:dyDescent="0.2">
      <c r="G238" s="6" t="s">
        <v>263</v>
      </c>
      <c r="H238" s="6" t="s">
        <v>107</v>
      </c>
      <c r="I238" s="6" t="s">
        <v>518</v>
      </c>
      <c r="J238" s="6" t="s">
        <v>518</v>
      </c>
    </row>
    <row r="239" spans="7:10" ht="22.5" x14ac:dyDescent="0.2">
      <c r="G239" s="6" t="s">
        <v>263</v>
      </c>
      <c r="H239" s="6" t="s">
        <v>107</v>
      </c>
      <c r="I239" s="6" t="s">
        <v>518</v>
      </c>
      <c r="J239" s="6" t="s">
        <v>800</v>
      </c>
    </row>
    <row r="240" spans="7:10" x14ac:dyDescent="0.2">
      <c r="G240" s="6" t="s">
        <v>263</v>
      </c>
      <c r="H240" s="6" t="s">
        <v>107</v>
      </c>
      <c r="I240" s="6" t="s">
        <v>52</v>
      </c>
      <c r="J240" s="6" t="s">
        <v>33</v>
      </c>
    </row>
    <row r="241" spans="7:10" x14ac:dyDescent="0.2">
      <c r="G241" s="6" t="s">
        <v>263</v>
      </c>
      <c r="H241" s="6" t="s">
        <v>107</v>
      </c>
      <c r="I241" s="6" t="s">
        <v>52</v>
      </c>
      <c r="J241" s="6" t="s">
        <v>400</v>
      </c>
    </row>
    <row r="242" spans="7:10" x14ac:dyDescent="0.2">
      <c r="G242" s="6" t="s">
        <v>263</v>
      </c>
      <c r="H242" s="6" t="s">
        <v>107</v>
      </c>
      <c r="I242" s="6" t="s">
        <v>52</v>
      </c>
      <c r="J242" s="6" t="s">
        <v>850</v>
      </c>
    </row>
    <row r="243" spans="7:10" x14ac:dyDescent="0.2">
      <c r="G243" s="6" t="s">
        <v>263</v>
      </c>
      <c r="H243" s="6" t="s">
        <v>107</v>
      </c>
      <c r="I243" s="6" t="s">
        <v>52</v>
      </c>
      <c r="J243" s="6" t="s">
        <v>52</v>
      </c>
    </row>
    <row r="244" spans="7:10" x14ac:dyDescent="0.2">
      <c r="G244" s="6" t="s">
        <v>263</v>
      </c>
      <c r="H244" s="6" t="s">
        <v>592</v>
      </c>
      <c r="I244" s="6" t="s">
        <v>389</v>
      </c>
      <c r="J244" s="6" t="s">
        <v>658</v>
      </c>
    </row>
    <row r="245" spans="7:10" x14ac:dyDescent="0.2">
      <c r="G245" s="6" t="s">
        <v>263</v>
      </c>
      <c r="H245" s="6" t="s">
        <v>592</v>
      </c>
      <c r="I245" s="6" t="s">
        <v>389</v>
      </c>
      <c r="J245" s="6" t="s">
        <v>389</v>
      </c>
    </row>
    <row r="246" spans="7:10" x14ac:dyDescent="0.2">
      <c r="G246" s="6" t="s">
        <v>263</v>
      </c>
      <c r="H246" s="6" t="s">
        <v>592</v>
      </c>
      <c r="I246" s="6" t="s">
        <v>389</v>
      </c>
      <c r="J246" s="6" t="s">
        <v>118</v>
      </c>
    </row>
    <row r="247" spans="7:10" x14ac:dyDescent="0.2">
      <c r="G247" s="6" t="s">
        <v>263</v>
      </c>
      <c r="H247" s="6" t="s">
        <v>592</v>
      </c>
      <c r="I247" s="6" t="s">
        <v>499</v>
      </c>
      <c r="J247" s="6" t="s">
        <v>499</v>
      </c>
    </row>
    <row r="248" spans="7:10" x14ac:dyDescent="0.2">
      <c r="G248" s="6" t="s">
        <v>263</v>
      </c>
      <c r="H248" s="6" t="s">
        <v>592</v>
      </c>
      <c r="I248" s="6" t="s">
        <v>499</v>
      </c>
      <c r="J248" s="6" t="s">
        <v>796</v>
      </c>
    </row>
    <row r="249" spans="7:10" x14ac:dyDescent="0.2">
      <c r="G249" s="6" t="s">
        <v>263</v>
      </c>
      <c r="H249" s="6" t="s">
        <v>592</v>
      </c>
      <c r="I249" s="6" t="s">
        <v>247</v>
      </c>
      <c r="J249" s="6" t="s">
        <v>720</v>
      </c>
    </row>
    <row r="250" spans="7:10" x14ac:dyDescent="0.2">
      <c r="G250" s="6" t="s">
        <v>263</v>
      </c>
      <c r="H250" s="6" t="s">
        <v>592</v>
      </c>
      <c r="I250" s="6" t="s">
        <v>247</v>
      </c>
      <c r="J250" s="6" t="s">
        <v>341</v>
      </c>
    </row>
    <row r="251" spans="7:10" x14ac:dyDescent="0.2">
      <c r="G251" s="6" t="s">
        <v>263</v>
      </c>
      <c r="H251" s="6" t="s">
        <v>592</v>
      </c>
      <c r="I251" s="6" t="s">
        <v>247</v>
      </c>
      <c r="J251" s="6" t="s">
        <v>247</v>
      </c>
    </row>
    <row r="252" spans="7:10" x14ac:dyDescent="0.2">
      <c r="G252" s="6" t="s">
        <v>263</v>
      </c>
      <c r="H252" s="6" t="s">
        <v>592</v>
      </c>
      <c r="I252" s="6" t="s">
        <v>486</v>
      </c>
      <c r="J252" s="6" t="s">
        <v>486</v>
      </c>
    </row>
    <row r="253" spans="7:10" x14ac:dyDescent="0.2">
      <c r="G253" s="6" t="s">
        <v>263</v>
      </c>
      <c r="H253" s="6" t="s">
        <v>592</v>
      </c>
      <c r="I253" s="6" t="s">
        <v>687</v>
      </c>
      <c r="J253" s="6" t="s">
        <v>687</v>
      </c>
    </row>
    <row r="254" spans="7:10" x14ac:dyDescent="0.2">
      <c r="G254" s="6" t="s">
        <v>263</v>
      </c>
      <c r="H254" s="6" t="s">
        <v>592</v>
      </c>
      <c r="I254" s="6" t="s">
        <v>546</v>
      </c>
      <c r="J254" s="6" t="s">
        <v>90</v>
      </c>
    </row>
    <row r="255" spans="7:10" x14ac:dyDescent="0.2">
      <c r="G255" s="6" t="s">
        <v>263</v>
      </c>
      <c r="H255" s="6" t="s">
        <v>592</v>
      </c>
      <c r="I255" s="6" t="s">
        <v>546</v>
      </c>
      <c r="J255" s="6" t="s">
        <v>546</v>
      </c>
    </row>
    <row r="256" spans="7:10" x14ac:dyDescent="0.2">
      <c r="G256" s="6" t="s">
        <v>263</v>
      </c>
      <c r="H256" s="6" t="s">
        <v>857</v>
      </c>
      <c r="I256" s="6" t="s">
        <v>470</v>
      </c>
      <c r="J256" s="6" t="s">
        <v>667</v>
      </c>
    </row>
    <row r="257" spans="7:10" x14ac:dyDescent="0.2">
      <c r="G257" s="6" t="s">
        <v>263</v>
      </c>
      <c r="H257" s="6" t="s">
        <v>857</v>
      </c>
      <c r="I257" s="6" t="s">
        <v>470</v>
      </c>
      <c r="J257" s="6" t="s">
        <v>470</v>
      </c>
    </row>
    <row r="258" spans="7:10" x14ac:dyDescent="0.2">
      <c r="G258" s="6" t="s">
        <v>263</v>
      </c>
      <c r="H258" s="6" t="s">
        <v>857</v>
      </c>
      <c r="I258" s="6" t="s">
        <v>857</v>
      </c>
      <c r="J258" s="6" t="s">
        <v>590</v>
      </c>
    </row>
    <row r="259" spans="7:10" x14ac:dyDescent="0.2">
      <c r="G259" s="6" t="s">
        <v>263</v>
      </c>
      <c r="H259" s="6" t="s">
        <v>857</v>
      </c>
      <c r="I259" s="6" t="s">
        <v>857</v>
      </c>
      <c r="J259" s="6" t="s">
        <v>857</v>
      </c>
    </row>
    <row r="260" spans="7:10" x14ac:dyDescent="0.2">
      <c r="G260" s="6" t="s">
        <v>749</v>
      </c>
      <c r="H260" s="6" t="s">
        <v>750</v>
      </c>
      <c r="I260" s="6" t="s">
        <v>127</v>
      </c>
      <c r="J260" s="6" t="s">
        <v>127</v>
      </c>
    </row>
    <row r="261" spans="7:10" ht="22.5" x14ac:dyDescent="0.2">
      <c r="G261" s="6" t="s">
        <v>749</v>
      </c>
      <c r="H261" s="6" t="s">
        <v>750</v>
      </c>
      <c r="I261" s="6" t="s">
        <v>143</v>
      </c>
      <c r="J261" s="6" t="s">
        <v>49</v>
      </c>
    </row>
    <row r="262" spans="7:10" ht="22.5" x14ac:dyDescent="0.2">
      <c r="G262" s="6" t="s">
        <v>749</v>
      </c>
      <c r="H262" s="6" t="s">
        <v>750</v>
      </c>
      <c r="I262" s="6" t="s">
        <v>143</v>
      </c>
      <c r="J262" s="6" t="s">
        <v>143</v>
      </c>
    </row>
    <row r="263" spans="7:10" ht="22.5" x14ac:dyDescent="0.2">
      <c r="G263" s="6" t="s">
        <v>749</v>
      </c>
      <c r="H263" s="6" t="s">
        <v>750</v>
      </c>
      <c r="I263" s="6" t="s">
        <v>143</v>
      </c>
      <c r="J263" s="6" t="s">
        <v>847</v>
      </c>
    </row>
    <row r="264" spans="7:10" ht="22.5" x14ac:dyDescent="0.2">
      <c r="G264" s="6" t="s">
        <v>749</v>
      </c>
      <c r="H264" s="6" t="s">
        <v>750</v>
      </c>
      <c r="I264" s="6" t="s">
        <v>143</v>
      </c>
      <c r="J264" s="6" t="s">
        <v>323</v>
      </c>
    </row>
    <row r="265" spans="7:10" ht="22.5" x14ac:dyDescent="0.2">
      <c r="G265" s="6" t="s">
        <v>749</v>
      </c>
      <c r="H265" s="6" t="s">
        <v>750</v>
      </c>
      <c r="I265" s="6" t="s">
        <v>818</v>
      </c>
      <c r="J265" s="6" t="s">
        <v>80</v>
      </c>
    </row>
    <row r="266" spans="7:10" ht="22.5" x14ac:dyDescent="0.2">
      <c r="G266" s="6" t="s">
        <v>749</v>
      </c>
      <c r="H266" s="6" t="s">
        <v>750</v>
      </c>
      <c r="I266" s="6" t="s">
        <v>818</v>
      </c>
      <c r="J266" s="6" t="s">
        <v>818</v>
      </c>
    </row>
    <row r="267" spans="7:10" x14ac:dyDescent="0.2">
      <c r="G267" s="6" t="s">
        <v>749</v>
      </c>
      <c r="H267" s="6" t="s">
        <v>381</v>
      </c>
      <c r="I267" s="6" t="s">
        <v>314</v>
      </c>
      <c r="J267" s="6" t="s">
        <v>314</v>
      </c>
    </row>
    <row r="268" spans="7:10" x14ac:dyDescent="0.2">
      <c r="G268" s="6" t="s">
        <v>749</v>
      </c>
      <c r="H268" s="6" t="s">
        <v>381</v>
      </c>
      <c r="I268" s="6" t="s">
        <v>381</v>
      </c>
      <c r="J268" s="6" t="s">
        <v>415</v>
      </c>
    </row>
    <row r="269" spans="7:10" x14ac:dyDescent="0.2">
      <c r="G269" s="6" t="s">
        <v>749</v>
      </c>
      <c r="H269" s="6" t="s">
        <v>381</v>
      </c>
      <c r="I269" s="6" t="s">
        <v>381</v>
      </c>
      <c r="J269" s="6" t="s">
        <v>854</v>
      </c>
    </row>
    <row r="270" spans="7:10" x14ac:dyDescent="0.2">
      <c r="G270" s="6" t="s">
        <v>749</v>
      </c>
      <c r="H270" s="6" t="s">
        <v>381</v>
      </c>
      <c r="I270" s="6" t="s">
        <v>381</v>
      </c>
      <c r="J270" s="6" t="s">
        <v>615</v>
      </c>
    </row>
    <row r="271" spans="7:10" x14ac:dyDescent="0.2">
      <c r="G271" s="6" t="s">
        <v>749</v>
      </c>
      <c r="H271" s="6" t="s">
        <v>381</v>
      </c>
      <c r="I271" s="6" t="s">
        <v>381</v>
      </c>
      <c r="J271" s="6" t="s">
        <v>381</v>
      </c>
    </row>
    <row r="272" spans="7:10" x14ac:dyDescent="0.2">
      <c r="G272" s="6" t="s">
        <v>749</v>
      </c>
      <c r="H272" s="6" t="s">
        <v>381</v>
      </c>
      <c r="I272" s="6" t="s">
        <v>806</v>
      </c>
      <c r="J272" s="6" t="s">
        <v>806</v>
      </c>
    </row>
    <row r="273" spans="7:10" ht="22.5" x14ac:dyDescent="0.2">
      <c r="G273" s="6" t="s">
        <v>749</v>
      </c>
      <c r="H273" s="6" t="s">
        <v>381</v>
      </c>
      <c r="I273" s="6" t="s">
        <v>710</v>
      </c>
      <c r="J273" s="6" t="s">
        <v>374</v>
      </c>
    </row>
    <row r="274" spans="7:10" ht="22.5" x14ac:dyDescent="0.2">
      <c r="G274" s="6" t="s">
        <v>749</v>
      </c>
      <c r="H274" s="6" t="s">
        <v>381</v>
      </c>
      <c r="I274" s="6" t="s">
        <v>710</v>
      </c>
      <c r="J274" s="6" t="s">
        <v>639</v>
      </c>
    </row>
    <row r="275" spans="7:10" ht="22.5" x14ac:dyDescent="0.2">
      <c r="G275" s="6" t="s">
        <v>749</v>
      </c>
      <c r="H275" s="6" t="s">
        <v>381</v>
      </c>
      <c r="I275" s="6" t="s">
        <v>710</v>
      </c>
      <c r="J275" s="6" t="s">
        <v>710</v>
      </c>
    </row>
    <row r="276" spans="7:10" x14ac:dyDescent="0.2">
      <c r="G276" s="6" t="s">
        <v>749</v>
      </c>
      <c r="H276" s="6" t="s">
        <v>381</v>
      </c>
      <c r="I276" s="6" t="s">
        <v>192</v>
      </c>
      <c r="J276" s="6" t="s">
        <v>283</v>
      </c>
    </row>
    <row r="277" spans="7:10" x14ac:dyDescent="0.2">
      <c r="G277" s="6" t="s">
        <v>749</v>
      </c>
      <c r="H277" s="6" t="s">
        <v>381</v>
      </c>
      <c r="I277" s="6" t="s">
        <v>192</v>
      </c>
      <c r="J277" s="6" t="s">
        <v>23</v>
      </c>
    </row>
    <row r="278" spans="7:10" x14ac:dyDescent="0.2">
      <c r="G278" s="6" t="s">
        <v>749</v>
      </c>
      <c r="H278" s="6" t="s">
        <v>381</v>
      </c>
      <c r="I278" s="6" t="s">
        <v>192</v>
      </c>
      <c r="J278" s="6" t="s">
        <v>192</v>
      </c>
    </row>
    <row r="279" spans="7:10" ht="22.5" x14ac:dyDescent="0.2">
      <c r="G279" s="6" t="s">
        <v>749</v>
      </c>
      <c r="H279" s="6" t="s">
        <v>432</v>
      </c>
      <c r="I279" s="6" t="s">
        <v>391</v>
      </c>
      <c r="J279" s="6" t="s">
        <v>391</v>
      </c>
    </row>
    <row r="280" spans="7:10" ht="22.5" x14ac:dyDescent="0.2">
      <c r="G280" s="6" t="s">
        <v>749</v>
      </c>
      <c r="H280" s="6" t="s">
        <v>432</v>
      </c>
      <c r="I280" s="6" t="s">
        <v>817</v>
      </c>
      <c r="J280" s="6" t="s">
        <v>817</v>
      </c>
    </row>
    <row r="281" spans="7:10" ht="22.5" x14ac:dyDescent="0.2">
      <c r="G281" s="6" t="s">
        <v>749</v>
      </c>
      <c r="H281" s="6" t="s">
        <v>432</v>
      </c>
      <c r="I281" s="6" t="s">
        <v>519</v>
      </c>
      <c r="J281" s="6" t="s">
        <v>519</v>
      </c>
    </row>
    <row r="282" spans="7:10" ht="22.5" x14ac:dyDescent="0.2">
      <c r="G282" s="6" t="s">
        <v>749</v>
      </c>
      <c r="H282" s="6" t="s">
        <v>432</v>
      </c>
      <c r="I282" s="6" t="s">
        <v>619</v>
      </c>
      <c r="J282" s="6" t="s">
        <v>619</v>
      </c>
    </row>
    <row r="283" spans="7:10" ht="22.5" x14ac:dyDescent="0.2">
      <c r="G283" s="6" t="s">
        <v>749</v>
      </c>
      <c r="H283" s="6" t="s">
        <v>432</v>
      </c>
      <c r="I283" s="6" t="s">
        <v>773</v>
      </c>
      <c r="J283" s="6" t="s">
        <v>245</v>
      </c>
    </row>
    <row r="284" spans="7:10" ht="22.5" x14ac:dyDescent="0.2">
      <c r="G284" s="6" t="s">
        <v>749</v>
      </c>
      <c r="H284" s="6" t="s">
        <v>432</v>
      </c>
      <c r="I284" s="6" t="s">
        <v>773</v>
      </c>
      <c r="J284" s="6" t="s">
        <v>704</v>
      </c>
    </row>
    <row r="285" spans="7:10" ht="22.5" x14ac:dyDescent="0.2">
      <c r="G285" s="6" t="s">
        <v>749</v>
      </c>
      <c r="H285" s="6" t="s">
        <v>432</v>
      </c>
      <c r="I285" s="6" t="s">
        <v>773</v>
      </c>
      <c r="J285" s="6" t="s">
        <v>773</v>
      </c>
    </row>
    <row r="286" spans="7:10" ht="22.5" x14ac:dyDescent="0.2">
      <c r="G286" s="6" t="s">
        <v>749</v>
      </c>
      <c r="H286" s="6" t="s">
        <v>432</v>
      </c>
      <c r="I286" s="6" t="s">
        <v>432</v>
      </c>
      <c r="J286" s="6" t="s">
        <v>432</v>
      </c>
    </row>
    <row r="287" spans="7:10" ht="22.5" x14ac:dyDescent="0.2">
      <c r="G287" s="6" t="s">
        <v>122</v>
      </c>
      <c r="H287" s="6" t="s">
        <v>507</v>
      </c>
      <c r="I287" s="6" t="s">
        <v>507</v>
      </c>
      <c r="J287" s="6" t="s">
        <v>507</v>
      </c>
    </row>
    <row r="288" spans="7:10" ht="22.5" x14ac:dyDescent="0.2">
      <c r="G288" s="6" t="s">
        <v>122</v>
      </c>
      <c r="H288" s="6" t="s">
        <v>670</v>
      </c>
      <c r="I288" s="6" t="s">
        <v>265</v>
      </c>
      <c r="J288" s="6" t="s">
        <v>265</v>
      </c>
    </row>
    <row r="289" spans="7:10" ht="22.5" x14ac:dyDescent="0.2">
      <c r="G289" s="6" t="s">
        <v>122</v>
      </c>
      <c r="H289" s="6" t="s">
        <v>670</v>
      </c>
      <c r="I289" s="6" t="s">
        <v>265</v>
      </c>
      <c r="J289" s="6" t="s">
        <v>787</v>
      </c>
    </row>
    <row r="290" spans="7:10" ht="22.5" x14ac:dyDescent="0.2">
      <c r="G290" s="6" t="s">
        <v>122</v>
      </c>
      <c r="H290" s="6" t="s">
        <v>670</v>
      </c>
      <c r="I290" s="6" t="s">
        <v>204</v>
      </c>
      <c r="J290" s="6" t="s">
        <v>204</v>
      </c>
    </row>
    <row r="291" spans="7:10" ht="22.5" x14ac:dyDescent="0.2">
      <c r="G291" s="6" t="s">
        <v>122</v>
      </c>
      <c r="H291" s="6" t="s">
        <v>670</v>
      </c>
      <c r="I291" s="6" t="s">
        <v>204</v>
      </c>
      <c r="J291" s="6" t="s">
        <v>111</v>
      </c>
    </row>
    <row r="292" spans="7:10" ht="22.5" x14ac:dyDescent="0.2">
      <c r="G292" s="6" t="s">
        <v>122</v>
      </c>
      <c r="H292" s="6" t="s">
        <v>670</v>
      </c>
      <c r="I292" s="6" t="s">
        <v>666</v>
      </c>
      <c r="J292" s="6" t="s">
        <v>666</v>
      </c>
    </row>
    <row r="293" spans="7:10" ht="22.5" x14ac:dyDescent="0.2">
      <c r="G293" s="6" t="s">
        <v>122</v>
      </c>
      <c r="H293" s="6" t="s">
        <v>670</v>
      </c>
      <c r="I293" s="6" t="s">
        <v>666</v>
      </c>
      <c r="J293" s="6" t="s">
        <v>464</v>
      </c>
    </row>
    <row r="294" spans="7:10" ht="22.5" x14ac:dyDescent="0.2">
      <c r="G294" s="6" t="s">
        <v>122</v>
      </c>
      <c r="H294" s="6" t="s">
        <v>670</v>
      </c>
      <c r="I294" s="6" t="s">
        <v>666</v>
      </c>
      <c r="J294" s="6" t="s">
        <v>3</v>
      </c>
    </row>
    <row r="295" spans="7:10" ht="22.5" x14ac:dyDescent="0.2">
      <c r="G295" s="6" t="s">
        <v>122</v>
      </c>
      <c r="H295" s="6" t="s">
        <v>670</v>
      </c>
      <c r="I295" s="6" t="s">
        <v>524</v>
      </c>
      <c r="J295" s="6" t="s">
        <v>420</v>
      </c>
    </row>
    <row r="296" spans="7:10" ht="22.5" x14ac:dyDescent="0.2">
      <c r="G296" s="6" t="s">
        <v>122</v>
      </c>
      <c r="H296" s="6" t="s">
        <v>670</v>
      </c>
      <c r="I296" s="6" t="s">
        <v>524</v>
      </c>
      <c r="J296" s="6" t="s">
        <v>540</v>
      </c>
    </row>
    <row r="297" spans="7:10" ht="22.5" x14ac:dyDescent="0.2">
      <c r="G297" s="6" t="s">
        <v>122</v>
      </c>
      <c r="H297" s="6" t="s">
        <v>670</v>
      </c>
      <c r="I297" s="6" t="s">
        <v>524</v>
      </c>
      <c r="J297" s="6" t="s">
        <v>524</v>
      </c>
    </row>
    <row r="298" spans="7:10" ht="22.5" x14ac:dyDescent="0.2">
      <c r="G298" s="6" t="s">
        <v>122</v>
      </c>
      <c r="H298" s="6" t="s">
        <v>670</v>
      </c>
      <c r="I298" s="6" t="s">
        <v>195</v>
      </c>
      <c r="J298" s="6" t="s">
        <v>273</v>
      </c>
    </row>
    <row r="299" spans="7:10" ht="22.5" x14ac:dyDescent="0.2">
      <c r="G299" s="6" t="s">
        <v>122</v>
      </c>
      <c r="H299" s="6" t="s">
        <v>670</v>
      </c>
      <c r="I299" s="6" t="s">
        <v>195</v>
      </c>
      <c r="J299" s="6" t="s">
        <v>195</v>
      </c>
    </row>
    <row r="300" spans="7:10" ht="22.5" x14ac:dyDescent="0.2">
      <c r="G300" s="6" t="s">
        <v>122</v>
      </c>
      <c r="H300" s="6" t="s">
        <v>670</v>
      </c>
      <c r="I300" s="6" t="s">
        <v>266</v>
      </c>
      <c r="J300" s="6" t="s">
        <v>133</v>
      </c>
    </row>
    <row r="301" spans="7:10" ht="22.5" x14ac:dyDescent="0.2">
      <c r="G301" s="6" t="s">
        <v>122</v>
      </c>
      <c r="H301" s="6" t="s">
        <v>670</v>
      </c>
      <c r="I301" s="6" t="s">
        <v>266</v>
      </c>
      <c r="J301" s="6" t="s">
        <v>266</v>
      </c>
    </row>
    <row r="302" spans="7:10" ht="22.5" x14ac:dyDescent="0.2">
      <c r="G302" s="6" t="s">
        <v>122</v>
      </c>
      <c r="H302" s="6" t="s">
        <v>670</v>
      </c>
      <c r="I302" s="6" t="s">
        <v>197</v>
      </c>
      <c r="J302" s="6" t="s">
        <v>197</v>
      </c>
    </row>
    <row r="303" spans="7:10" ht="22.5" x14ac:dyDescent="0.2">
      <c r="G303" s="6" t="s">
        <v>836</v>
      </c>
      <c r="H303" s="6" t="s">
        <v>291</v>
      </c>
      <c r="I303" s="6" t="s">
        <v>2</v>
      </c>
      <c r="J303" s="6" t="s">
        <v>2</v>
      </c>
    </row>
    <row r="304" spans="7:10" ht="22.5" x14ac:dyDescent="0.2">
      <c r="G304" s="6" t="s">
        <v>836</v>
      </c>
      <c r="H304" s="6" t="s">
        <v>291</v>
      </c>
      <c r="I304" s="6" t="s">
        <v>2</v>
      </c>
      <c r="J304" s="6" t="s">
        <v>162</v>
      </c>
    </row>
    <row r="305" spans="7:10" ht="22.5" x14ac:dyDescent="0.2">
      <c r="G305" s="6" t="s">
        <v>836</v>
      </c>
      <c r="H305" s="6" t="s">
        <v>291</v>
      </c>
      <c r="I305" s="6" t="s">
        <v>2</v>
      </c>
      <c r="J305" s="6" t="s">
        <v>246</v>
      </c>
    </row>
    <row r="306" spans="7:10" ht="22.5" x14ac:dyDescent="0.2">
      <c r="G306" s="6" t="s">
        <v>836</v>
      </c>
      <c r="H306" s="6" t="s">
        <v>291</v>
      </c>
      <c r="I306" s="6" t="s">
        <v>2</v>
      </c>
      <c r="J306" s="6" t="s">
        <v>739</v>
      </c>
    </row>
    <row r="307" spans="7:10" ht="22.5" x14ac:dyDescent="0.2">
      <c r="G307" s="6" t="s">
        <v>836</v>
      </c>
      <c r="H307" s="6" t="s">
        <v>291</v>
      </c>
      <c r="I307" s="6" t="s">
        <v>2</v>
      </c>
      <c r="J307" s="6" t="s">
        <v>416</v>
      </c>
    </row>
    <row r="308" spans="7:10" ht="22.5" x14ac:dyDescent="0.2">
      <c r="G308" s="6" t="s">
        <v>836</v>
      </c>
      <c r="H308" s="6" t="s">
        <v>291</v>
      </c>
      <c r="I308" s="6" t="s">
        <v>2</v>
      </c>
      <c r="J308" s="6" t="s">
        <v>557</v>
      </c>
    </row>
    <row r="309" spans="7:10" ht="22.5" x14ac:dyDescent="0.2">
      <c r="G309" s="6" t="s">
        <v>836</v>
      </c>
      <c r="H309" s="6" t="s">
        <v>291</v>
      </c>
      <c r="I309" s="6" t="s">
        <v>2</v>
      </c>
      <c r="J309" s="6" t="s">
        <v>591</v>
      </c>
    </row>
    <row r="310" spans="7:10" ht="22.5" x14ac:dyDescent="0.2">
      <c r="G310" s="6" t="s">
        <v>836</v>
      </c>
      <c r="H310" s="6" t="s">
        <v>291</v>
      </c>
      <c r="I310" s="6" t="s">
        <v>2</v>
      </c>
      <c r="J310" s="6" t="s">
        <v>163</v>
      </c>
    </row>
    <row r="311" spans="7:10" ht="22.5" x14ac:dyDescent="0.2">
      <c r="G311" s="6" t="s">
        <v>836</v>
      </c>
      <c r="H311" s="6" t="s">
        <v>291</v>
      </c>
      <c r="I311" s="6" t="s">
        <v>2</v>
      </c>
      <c r="J311" s="6" t="s">
        <v>371</v>
      </c>
    </row>
    <row r="312" spans="7:10" x14ac:dyDescent="0.2">
      <c r="G312" s="6" t="s">
        <v>836</v>
      </c>
      <c r="H312" s="6" t="s">
        <v>291</v>
      </c>
      <c r="I312" s="6" t="s">
        <v>354</v>
      </c>
      <c r="J312" s="6" t="s">
        <v>354</v>
      </c>
    </row>
    <row r="313" spans="7:10" x14ac:dyDescent="0.2">
      <c r="G313" s="6" t="s">
        <v>836</v>
      </c>
      <c r="H313" s="6" t="s">
        <v>291</v>
      </c>
      <c r="I313" s="6" t="s">
        <v>90</v>
      </c>
      <c r="J313" s="6" t="s">
        <v>90</v>
      </c>
    </row>
    <row r="314" spans="7:10" x14ac:dyDescent="0.2">
      <c r="G314" s="6" t="s">
        <v>836</v>
      </c>
      <c r="H314" s="6" t="s">
        <v>291</v>
      </c>
      <c r="I314" s="6" t="s">
        <v>433</v>
      </c>
      <c r="J314" s="6" t="s">
        <v>433</v>
      </c>
    </row>
    <row r="315" spans="7:10" x14ac:dyDescent="0.2">
      <c r="G315" s="6" t="s">
        <v>836</v>
      </c>
      <c r="H315" s="6" t="s">
        <v>291</v>
      </c>
      <c r="I315" s="6" t="s">
        <v>433</v>
      </c>
      <c r="J315" s="6" t="s">
        <v>255</v>
      </c>
    </row>
    <row r="316" spans="7:10" ht="22.5" x14ac:dyDescent="0.2">
      <c r="G316" s="6" t="s">
        <v>836</v>
      </c>
      <c r="H316" s="6" t="s">
        <v>291</v>
      </c>
      <c r="I316" s="6" t="s">
        <v>598</v>
      </c>
      <c r="J316" s="6" t="s">
        <v>303</v>
      </c>
    </row>
    <row r="317" spans="7:10" ht="22.5" x14ac:dyDescent="0.2">
      <c r="G317" s="6" t="s">
        <v>836</v>
      </c>
      <c r="H317" s="6" t="s">
        <v>291</v>
      </c>
      <c r="I317" s="6" t="s">
        <v>598</v>
      </c>
      <c r="J317" s="6" t="s">
        <v>598</v>
      </c>
    </row>
    <row r="318" spans="7:10" ht="22.5" x14ac:dyDescent="0.2">
      <c r="G318" s="6" t="s">
        <v>836</v>
      </c>
      <c r="H318" s="6" t="s">
        <v>291</v>
      </c>
      <c r="I318" s="6" t="s">
        <v>598</v>
      </c>
      <c r="J318" s="6" t="s">
        <v>685</v>
      </c>
    </row>
    <row r="319" spans="7:10" ht="22.5" x14ac:dyDescent="0.2">
      <c r="G319" s="6" t="s">
        <v>836</v>
      </c>
      <c r="H319" s="6" t="s">
        <v>291</v>
      </c>
      <c r="I319" s="6" t="s">
        <v>29</v>
      </c>
      <c r="J319" s="6" t="s">
        <v>794</v>
      </c>
    </row>
    <row r="320" spans="7:10" ht="22.5" x14ac:dyDescent="0.2">
      <c r="G320" s="6" t="s">
        <v>836</v>
      </c>
      <c r="H320" s="6" t="s">
        <v>291</v>
      </c>
      <c r="I320" s="6" t="s">
        <v>29</v>
      </c>
      <c r="J320" s="6" t="s">
        <v>117</v>
      </c>
    </row>
    <row r="321" spans="7:10" ht="22.5" x14ac:dyDescent="0.2">
      <c r="G321" s="6" t="s">
        <v>836</v>
      </c>
      <c r="H321" s="6" t="s">
        <v>291</v>
      </c>
      <c r="I321" s="6" t="s">
        <v>29</v>
      </c>
      <c r="J321" s="6" t="s">
        <v>842</v>
      </c>
    </row>
    <row r="322" spans="7:10" ht="22.5" x14ac:dyDescent="0.2">
      <c r="G322" s="6" t="s">
        <v>836</v>
      </c>
      <c r="H322" s="6" t="s">
        <v>291</v>
      </c>
      <c r="I322" s="6" t="s">
        <v>29</v>
      </c>
      <c r="J322" s="6" t="s">
        <v>630</v>
      </c>
    </row>
    <row r="323" spans="7:10" ht="22.5" x14ac:dyDescent="0.2">
      <c r="G323" s="6" t="s">
        <v>836</v>
      </c>
      <c r="H323" s="6" t="s">
        <v>291</v>
      </c>
      <c r="I323" s="6" t="s">
        <v>29</v>
      </c>
      <c r="J323" s="6" t="s">
        <v>29</v>
      </c>
    </row>
    <row r="324" spans="7:10" x14ac:dyDescent="0.2">
      <c r="G324" s="6" t="s">
        <v>836</v>
      </c>
      <c r="H324" s="6" t="s">
        <v>291</v>
      </c>
      <c r="I324" s="6" t="s">
        <v>682</v>
      </c>
      <c r="J324" s="6" t="s">
        <v>682</v>
      </c>
    </row>
    <row r="325" spans="7:10" x14ac:dyDescent="0.2">
      <c r="G325" s="6" t="s">
        <v>836</v>
      </c>
      <c r="H325" s="6" t="s">
        <v>291</v>
      </c>
      <c r="I325" s="6" t="s">
        <v>83</v>
      </c>
      <c r="J325" s="6" t="s">
        <v>147</v>
      </c>
    </row>
    <row r="326" spans="7:10" x14ac:dyDescent="0.2">
      <c r="G326" s="6" t="s">
        <v>836</v>
      </c>
      <c r="H326" s="6" t="s">
        <v>291</v>
      </c>
      <c r="I326" s="6" t="s">
        <v>83</v>
      </c>
      <c r="J326" s="6" t="s">
        <v>83</v>
      </c>
    </row>
    <row r="327" spans="7:10" x14ac:dyDescent="0.2">
      <c r="G327" s="6" t="s">
        <v>836</v>
      </c>
      <c r="H327" s="6" t="s">
        <v>291</v>
      </c>
      <c r="I327" s="6" t="s">
        <v>572</v>
      </c>
      <c r="J327" s="6" t="s">
        <v>317</v>
      </c>
    </row>
    <row r="328" spans="7:10" x14ac:dyDescent="0.2">
      <c r="G328" s="6" t="s">
        <v>836</v>
      </c>
      <c r="H328" s="6" t="s">
        <v>291</v>
      </c>
      <c r="I328" s="6" t="s">
        <v>572</v>
      </c>
      <c r="J328" s="6" t="s">
        <v>179</v>
      </c>
    </row>
    <row r="329" spans="7:10" x14ac:dyDescent="0.2">
      <c r="G329" s="6" t="s">
        <v>836</v>
      </c>
      <c r="H329" s="6" t="s">
        <v>291</v>
      </c>
      <c r="I329" s="6" t="s">
        <v>572</v>
      </c>
      <c r="J329" s="6" t="s">
        <v>278</v>
      </c>
    </row>
    <row r="330" spans="7:10" x14ac:dyDescent="0.2">
      <c r="G330" s="6" t="s">
        <v>836</v>
      </c>
      <c r="H330" s="6" t="s">
        <v>291</v>
      </c>
      <c r="I330" s="6" t="s">
        <v>572</v>
      </c>
      <c r="J330" s="6" t="s">
        <v>572</v>
      </c>
    </row>
    <row r="331" spans="7:10" x14ac:dyDescent="0.2">
      <c r="G331" s="6" t="s">
        <v>836</v>
      </c>
      <c r="H331" s="6" t="s">
        <v>291</v>
      </c>
      <c r="I331" s="6" t="s">
        <v>510</v>
      </c>
      <c r="J331" s="6" t="s">
        <v>187</v>
      </c>
    </row>
    <row r="332" spans="7:10" x14ac:dyDescent="0.2">
      <c r="G332" s="6" t="s">
        <v>836</v>
      </c>
      <c r="H332" s="6" t="s">
        <v>291</v>
      </c>
      <c r="I332" s="6" t="s">
        <v>510</v>
      </c>
      <c r="J332" s="6" t="s">
        <v>531</v>
      </c>
    </row>
    <row r="333" spans="7:10" x14ac:dyDescent="0.2">
      <c r="G333" s="6" t="s">
        <v>836</v>
      </c>
      <c r="H333" s="6" t="s">
        <v>291</v>
      </c>
      <c r="I333" s="6" t="s">
        <v>510</v>
      </c>
      <c r="J333" s="6" t="s">
        <v>769</v>
      </c>
    </row>
    <row r="334" spans="7:10" x14ac:dyDescent="0.2">
      <c r="G334" s="6" t="s">
        <v>836</v>
      </c>
      <c r="H334" s="6" t="s">
        <v>291</v>
      </c>
      <c r="I334" s="6" t="s">
        <v>510</v>
      </c>
      <c r="J334" s="6" t="s">
        <v>510</v>
      </c>
    </row>
    <row r="335" spans="7:10" x14ac:dyDescent="0.2">
      <c r="G335" s="6" t="s">
        <v>836</v>
      </c>
      <c r="H335" s="6" t="s">
        <v>222</v>
      </c>
      <c r="I335" s="6" t="s">
        <v>403</v>
      </c>
      <c r="J335" s="6" t="s">
        <v>403</v>
      </c>
    </row>
    <row r="336" spans="7:10" x14ac:dyDescent="0.2">
      <c r="G336" s="6" t="s">
        <v>836</v>
      </c>
      <c r="H336" s="6" t="s">
        <v>222</v>
      </c>
      <c r="I336" s="6" t="s">
        <v>403</v>
      </c>
      <c r="J336" s="6" t="s">
        <v>582</v>
      </c>
    </row>
    <row r="337" spans="7:10" x14ac:dyDescent="0.2">
      <c r="G337" s="6" t="s">
        <v>836</v>
      </c>
      <c r="H337" s="6" t="s">
        <v>222</v>
      </c>
      <c r="I337" s="6" t="s">
        <v>403</v>
      </c>
      <c r="J337" s="6" t="s">
        <v>665</v>
      </c>
    </row>
    <row r="338" spans="7:10" x14ac:dyDescent="0.2">
      <c r="G338" s="6" t="s">
        <v>836</v>
      </c>
      <c r="H338" s="6" t="s">
        <v>222</v>
      </c>
      <c r="I338" s="6" t="s">
        <v>403</v>
      </c>
      <c r="J338" s="6" t="s">
        <v>571</v>
      </c>
    </row>
    <row r="339" spans="7:10" x14ac:dyDescent="0.2">
      <c r="G339" s="6" t="s">
        <v>836</v>
      </c>
      <c r="H339" s="6" t="s">
        <v>222</v>
      </c>
      <c r="I339" s="6" t="s">
        <v>403</v>
      </c>
      <c r="J339" s="6" t="s">
        <v>747</v>
      </c>
    </row>
    <row r="340" spans="7:10" x14ac:dyDescent="0.2">
      <c r="G340" s="6" t="s">
        <v>836</v>
      </c>
      <c r="H340" s="6" t="s">
        <v>222</v>
      </c>
      <c r="I340" s="6" t="s">
        <v>403</v>
      </c>
      <c r="J340" s="6" t="s">
        <v>212</v>
      </c>
    </row>
    <row r="341" spans="7:10" x14ac:dyDescent="0.2">
      <c r="G341" s="6" t="s">
        <v>836</v>
      </c>
      <c r="H341" s="6" t="s">
        <v>222</v>
      </c>
      <c r="I341" s="6" t="s">
        <v>403</v>
      </c>
      <c r="J341" s="6" t="s">
        <v>758</v>
      </c>
    </row>
    <row r="342" spans="7:10" x14ac:dyDescent="0.2">
      <c r="G342" s="6" t="s">
        <v>836</v>
      </c>
      <c r="H342" s="6" t="s">
        <v>222</v>
      </c>
      <c r="I342" s="6" t="s">
        <v>403</v>
      </c>
      <c r="J342" s="6" t="s">
        <v>756</v>
      </c>
    </row>
    <row r="343" spans="7:10" x14ac:dyDescent="0.2">
      <c r="G343" s="6" t="s">
        <v>836</v>
      </c>
      <c r="H343" s="6" t="s">
        <v>222</v>
      </c>
      <c r="I343" s="6" t="s">
        <v>403</v>
      </c>
      <c r="J343" s="6" t="s">
        <v>277</v>
      </c>
    </row>
    <row r="344" spans="7:10" x14ac:dyDescent="0.2">
      <c r="G344" s="6" t="s">
        <v>836</v>
      </c>
      <c r="H344" s="6" t="s">
        <v>222</v>
      </c>
      <c r="I344" s="6" t="s">
        <v>403</v>
      </c>
      <c r="J344" s="6" t="s">
        <v>840</v>
      </c>
    </row>
    <row r="345" spans="7:10" x14ac:dyDescent="0.2">
      <c r="G345" s="6" t="s">
        <v>836</v>
      </c>
      <c r="H345" s="6" t="s">
        <v>222</v>
      </c>
      <c r="I345" s="6" t="s">
        <v>712</v>
      </c>
      <c r="J345" s="6" t="s">
        <v>712</v>
      </c>
    </row>
    <row r="346" spans="7:10" x14ac:dyDescent="0.2">
      <c r="G346" s="6" t="s">
        <v>836</v>
      </c>
      <c r="H346" s="6" t="s">
        <v>222</v>
      </c>
      <c r="I346" s="6" t="s">
        <v>712</v>
      </c>
      <c r="J346" s="6" t="s">
        <v>324</v>
      </c>
    </row>
    <row r="347" spans="7:10" x14ac:dyDescent="0.2">
      <c r="G347" s="6" t="s">
        <v>836</v>
      </c>
      <c r="H347" s="6" t="s">
        <v>222</v>
      </c>
      <c r="I347" s="6" t="s">
        <v>712</v>
      </c>
      <c r="J347" s="6" t="s">
        <v>31</v>
      </c>
    </row>
    <row r="348" spans="7:10" x14ac:dyDescent="0.2">
      <c r="G348" s="6" t="s">
        <v>836</v>
      </c>
      <c r="H348" s="6" t="s">
        <v>694</v>
      </c>
      <c r="I348" s="6" t="s">
        <v>348</v>
      </c>
      <c r="J348" s="6" t="s">
        <v>348</v>
      </c>
    </row>
    <row r="349" spans="7:10" x14ac:dyDescent="0.2">
      <c r="G349" s="6" t="s">
        <v>836</v>
      </c>
      <c r="H349" s="6" t="s">
        <v>694</v>
      </c>
      <c r="I349" s="6" t="s">
        <v>348</v>
      </c>
      <c r="J349" s="6" t="s">
        <v>259</v>
      </c>
    </row>
    <row r="350" spans="7:10" ht="22.5" x14ac:dyDescent="0.2">
      <c r="G350" s="6" t="s">
        <v>836</v>
      </c>
      <c r="H350" s="6" t="s">
        <v>694</v>
      </c>
      <c r="I350" s="6" t="s">
        <v>804</v>
      </c>
      <c r="J350" s="6" t="s">
        <v>558</v>
      </c>
    </row>
    <row r="351" spans="7:10" ht="22.5" x14ac:dyDescent="0.2">
      <c r="G351" s="6" t="s">
        <v>836</v>
      </c>
      <c r="H351" s="6" t="s">
        <v>694</v>
      </c>
      <c r="I351" s="6" t="s">
        <v>804</v>
      </c>
      <c r="J351" s="6" t="s">
        <v>804</v>
      </c>
    </row>
    <row r="352" spans="7:10" x14ac:dyDescent="0.2">
      <c r="G352" s="6" t="s">
        <v>836</v>
      </c>
      <c r="H352" s="6" t="s">
        <v>694</v>
      </c>
      <c r="I352" s="6" t="s">
        <v>740</v>
      </c>
      <c r="J352" s="6" t="s">
        <v>740</v>
      </c>
    </row>
    <row r="353" spans="7:10" ht="22.5" x14ac:dyDescent="0.2">
      <c r="G353" s="6" t="s">
        <v>836</v>
      </c>
      <c r="H353" s="6" t="s">
        <v>694</v>
      </c>
      <c r="I353" s="6" t="s">
        <v>577</v>
      </c>
      <c r="J353" s="6" t="s">
        <v>577</v>
      </c>
    </row>
    <row r="354" spans="7:10" x14ac:dyDescent="0.2">
      <c r="G354" s="6" t="s">
        <v>836</v>
      </c>
      <c r="H354" s="6" t="s">
        <v>694</v>
      </c>
      <c r="I354" s="6" t="s">
        <v>694</v>
      </c>
      <c r="J354" s="6" t="s">
        <v>483</v>
      </c>
    </row>
    <row r="355" spans="7:10" x14ac:dyDescent="0.2">
      <c r="G355" s="6" t="s">
        <v>836</v>
      </c>
      <c r="H355" s="6" t="s">
        <v>694</v>
      </c>
      <c r="I355" s="6" t="s">
        <v>694</v>
      </c>
      <c r="J355" s="6" t="s">
        <v>694</v>
      </c>
    </row>
    <row r="356" spans="7:10" ht="22.5" x14ac:dyDescent="0.2">
      <c r="G356" s="6" t="s">
        <v>836</v>
      </c>
      <c r="H356" s="6" t="s">
        <v>694</v>
      </c>
      <c r="I356" s="6" t="s">
        <v>715</v>
      </c>
      <c r="J356" s="6" t="s">
        <v>715</v>
      </c>
    </row>
    <row r="357" spans="7:10" x14ac:dyDescent="0.2">
      <c r="G357" s="6" t="s">
        <v>836</v>
      </c>
      <c r="H357" s="6" t="s">
        <v>694</v>
      </c>
      <c r="I357" s="6" t="s">
        <v>832</v>
      </c>
      <c r="J357" s="6" t="s">
        <v>525</v>
      </c>
    </row>
    <row r="358" spans="7:10" x14ac:dyDescent="0.2">
      <c r="G358" s="6" t="s">
        <v>836</v>
      </c>
      <c r="H358" s="6" t="s">
        <v>694</v>
      </c>
      <c r="I358" s="6" t="s">
        <v>832</v>
      </c>
      <c r="J358" s="6" t="s">
        <v>104</v>
      </c>
    </row>
    <row r="359" spans="7:10" x14ac:dyDescent="0.2">
      <c r="G359" s="6" t="s">
        <v>836</v>
      </c>
      <c r="H359" s="6" t="s">
        <v>694</v>
      </c>
      <c r="I359" s="6" t="s">
        <v>832</v>
      </c>
      <c r="J359" s="6" t="s">
        <v>139</v>
      </c>
    </row>
    <row r="360" spans="7:10" x14ac:dyDescent="0.2">
      <c r="G360" s="6" t="s">
        <v>836</v>
      </c>
      <c r="H360" s="6" t="s">
        <v>694</v>
      </c>
      <c r="I360" s="6" t="s">
        <v>832</v>
      </c>
      <c r="J360" s="6" t="s">
        <v>832</v>
      </c>
    </row>
    <row r="361" spans="7:10" x14ac:dyDescent="0.2">
      <c r="G361" s="6" t="s">
        <v>836</v>
      </c>
      <c r="H361" s="6" t="s">
        <v>694</v>
      </c>
      <c r="I361" s="6" t="s">
        <v>16</v>
      </c>
      <c r="J361" s="6" t="s">
        <v>16</v>
      </c>
    </row>
    <row r="362" spans="7:10" ht="22.5" x14ac:dyDescent="0.2">
      <c r="G362" s="6" t="s">
        <v>836</v>
      </c>
      <c r="H362" s="6" t="s">
        <v>81</v>
      </c>
      <c r="I362" s="6" t="s">
        <v>13</v>
      </c>
      <c r="J362" s="6" t="s">
        <v>13</v>
      </c>
    </row>
    <row r="363" spans="7:10" ht="22.5" x14ac:dyDescent="0.2">
      <c r="G363" s="6" t="s">
        <v>836</v>
      </c>
      <c r="H363" s="6" t="s">
        <v>81</v>
      </c>
      <c r="I363" s="6" t="s">
        <v>429</v>
      </c>
      <c r="J363" s="6" t="s">
        <v>429</v>
      </c>
    </row>
    <row r="364" spans="7:10" ht="22.5" x14ac:dyDescent="0.2">
      <c r="G364" s="6" t="s">
        <v>836</v>
      </c>
      <c r="H364" s="6" t="s">
        <v>81</v>
      </c>
      <c r="I364" s="6" t="s">
        <v>81</v>
      </c>
      <c r="J364" s="6" t="s">
        <v>436</v>
      </c>
    </row>
    <row r="365" spans="7:10" ht="22.5" x14ac:dyDescent="0.2">
      <c r="G365" s="6" t="s">
        <v>836</v>
      </c>
      <c r="H365" s="6" t="s">
        <v>81</v>
      </c>
      <c r="I365" s="6" t="s">
        <v>81</v>
      </c>
      <c r="J365" s="6" t="s">
        <v>498</v>
      </c>
    </row>
    <row r="366" spans="7:10" ht="22.5" x14ac:dyDescent="0.2">
      <c r="G366" s="6" t="s">
        <v>836</v>
      </c>
      <c r="H366" s="6" t="s">
        <v>81</v>
      </c>
      <c r="I366" s="6" t="s">
        <v>81</v>
      </c>
      <c r="J366" s="6" t="s">
        <v>237</v>
      </c>
    </row>
    <row r="367" spans="7:10" ht="22.5" x14ac:dyDescent="0.2">
      <c r="G367" s="6" t="s">
        <v>836</v>
      </c>
      <c r="H367" s="6" t="s">
        <v>81</v>
      </c>
      <c r="I367" s="6" t="s">
        <v>81</v>
      </c>
      <c r="J367" s="6" t="s">
        <v>686</v>
      </c>
    </row>
    <row r="368" spans="7:10" ht="22.5" x14ac:dyDescent="0.2">
      <c r="G368" s="6" t="s">
        <v>836</v>
      </c>
      <c r="H368" s="6" t="s">
        <v>81</v>
      </c>
      <c r="I368" s="6" t="s">
        <v>81</v>
      </c>
      <c r="J368" s="6" t="s">
        <v>81</v>
      </c>
    </row>
    <row r="369" spans="7:10" x14ac:dyDescent="0.2">
      <c r="G369" s="6" t="s">
        <v>798</v>
      </c>
      <c r="H369" s="6" t="s">
        <v>481</v>
      </c>
      <c r="I369" s="6" t="s">
        <v>805</v>
      </c>
      <c r="J369" s="6" t="s">
        <v>280</v>
      </c>
    </row>
    <row r="370" spans="7:10" x14ac:dyDescent="0.2">
      <c r="G370" s="6" t="s">
        <v>798</v>
      </c>
      <c r="H370" s="6" t="s">
        <v>481</v>
      </c>
      <c r="I370" s="6" t="s">
        <v>805</v>
      </c>
      <c r="J370" s="6" t="s">
        <v>47</v>
      </c>
    </row>
    <row r="371" spans="7:10" x14ac:dyDescent="0.2">
      <c r="G371" s="6" t="s">
        <v>798</v>
      </c>
      <c r="H371" s="6" t="s">
        <v>481</v>
      </c>
      <c r="I371" s="6" t="s">
        <v>805</v>
      </c>
      <c r="J371" s="6" t="s">
        <v>805</v>
      </c>
    </row>
    <row r="372" spans="7:10" ht="22.5" x14ac:dyDescent="0.2">
      <c r="G372" s="6" t="s">
        <v>798</v>
      </c>
      <c r="H372" s="6" t="s">
        <v>481</v>
      </c>
      <c r="I372" s="6" t="s">
        <v>819</v>
      </c>
      <c r="J372" s="6" t="s">
        <v>535</v>
      </c>
    </row>
    <row r="373" spans="7:10" ht="22.5" x14ac:dyDescent="0.2">
      <c r="G373" s="6" t="s">
        <v>798</v>
      </c>
      <c r="H373" s="6" t="s">
        <v>481</v>
      </c>
      <c r="I373" s="6" t="s">
        <v>819</v>
      </c>
      <c r="J373" s="6" t="s">
        <v>819</v>
      </c>
    </row>
    <row r="374" spans="7:10" ht="22.5" x14ac:dyDescent="0.2">
      <c r="G374" s="6" t="s">
        <v>798</v>
      </c>
      <c r="H374" s="6" t="s">
        <v>481</v>
      </c>
      <c r="I374" s="6" t="s">
        <v>819</v>
      </c>
      <c r="J374" s="6" t="s">
        <v>164</v>
      </c>
    </row>
    <row r="375" spans="7:10" ht="22.5" x14ac:dyDescent="0.2">
      <c r="G375" s="6" t="s">
        <v>798</v>
      </c>
      <c r="H375" s="6" t="s">
        <v>481</v>
      </c>
      <c r="I375" s="6" t="s">
        <v>819</v>
      </c>
      <c r="J375" s="6" t="s">
        <v>491</v>
      </c>
    </row>
    <row r="376" spans="7:10" ht="22.5" x14ac:dyDescent="0.2">
      <c r="G376" s="6" t="s">
        <v>798</v>
      </c>
      <c r="H376" s="6" t="s">
        <v>20</v>
      </c>
      <c r="I376" s="6" t="s">
        <v>553</v>
      </c>
      <c r="J376" s="6" t="s">
        <v>309</v>
      </c>
    </row>
    <row r="377" spans="7:10" ht="22.5" x14ac:dyDescent="0.2">
      <c r="G377" s="6" t="s">
        <v>798</v>
      </c>
      <c r="H377" s="6" t="s">
        <v>20</v>
      </c>
      <c r="I377" s="6" t="s">
        <v>553</v>
      </c>
      <c r="J377" s="6" t="s">
        <v>417</v>
      </c>
    </row>
    <row r="378" spans="7:10" ht="22.5" x14ac:dyDescent="0.2">
      <c r="G378" s="6" t="s">
        <v>798</v>
      </c>
      <c r="H378" s="6" t="s">
        <v>20</v>
      </c>
      <c r="I378" s="6" t="s">
        <v>553</v>
      </c>
      <c r="J378" s="6" t="s">
        <v>553</v>
      </c>
    </row>
    <row r="379" spans="7:10" ht="22.5" x14ac:dyDescent="0.2">
      <c r="G379" s="6" t="s">
        <v>798</v>
      </c>
      <c r="H379" s="6" t="s">
        <v>20</v>
      </c>
      <c r="I379" s="6" t="s">
        <v>553</v>
      </c>
      <c r="J379" s="6" t="s">
        <v>365</v>
      </c>
    </row>
    <row r="380" spans="7:10" ht="22.5" x14ac:dyDescent="0.2">
      <c r="G380" s="6" t="s">
        <v>798</v>
      </c>
      <c r="H380" s="6" t="s">
        <v>20</v>
      </c>
      <c r="I380" s="6" t="s">
        <v>165</v>
      </c>
      <c r="J380" s="6" t="s">
        <v>340</v>
      </c>
    </row>
    <row r="381" spans="7:10" ht="22.5" x14ac:dyDescent="0.2">
      <c r="G381" s="6" t="s">
        <v>798</v>
      </c>
      <c r="H381" s="6" t="s">
        <v>20</v>
      </c>
      <c r="I381" s="6" t="s">
        <v>165</v>
      </c>
      <c r="J381" s="6" t="s">
        <v>456</v>
      </c>
    </row>
    <row r="382" spans="7:10" ht="22.5" x14ac:dyDescent="0.2">
      <c r="G382" s="6" t="s">
        <v>798</v>
      </c>
      <c r="H382" s="6" t="s">
        <v>20</v>
      </c>
      <c r="I382" s="6" t="s">
        <v>165</v>
      </c>
      <c r="J382" s="6" t="s">
        <v>165</v>
      </c>
    </row>
    <row r="383" spans="7:10" x14ac:dyDescent="0.2">
      <c r="G383" s="6" t="s">
        <v>798</v>
      </c>
      <c r="H383" s="6" t="s">
        <v>343</v>
      </c>
      <c r="I383" s="6" t="s">
        <v>141</v>
      </c>
      <c r="J383" s="6" t="s">
        <v>141</v>
      </c>
    </row>
    <row r="384" spans="7:10" x14ac:dyDescent="0.2">
      <c r="G384" s="6" t="s">
        <v>798</v>
      </c>
      <c r="H384" s="6" t="s">
        <v>343</v>
      </c>
      <c r="I384" s="6" t="s">
        <v>343</v>
      </c>
      <c r="J384" s="6" t="s">
        <v>65</v>
      </c>
    </row>
    <row r="385" spans="7:10" x14ac:dyDescent="0.2">
      <c r="G385" s="6" t="s">
        <v>798</v>
      </c>
      <c r="H385" s="6" t="s">
        <v>343</v>
      </c>
      <c r="I385" s="6" t="s">
        <v>343</v>
      </c>
      <c r="J385" s="6" t="s">
        <v>343</v>
      </c>
    </row>
    <row r="386" spans="7:10" x14ac:dyDescent="0.2">
      <c r="G386" s="6" t="s">
        <v>798</v>
      </c>
      <c r="H386" s="6" t="s">
        <v>343</v>
      </c>
      <c r="I386" s="6" t="s">
        <v>106</v>
      </c>
      <c r="J386" s="6" t="s">
        <v>526</v>
      </c>
    </row>
    <row r="387" spans="7:10" x14ac:dyDescent="0.2">
      <c r="G387" s="6" t="s">
        <v>798</v>
      </c>
      <c r="H387" s="6" t="s">
        <v>343</v>
      </c>
      <c r="I387" s="6" t="s">
        <v>106</v>
      </c>
      <c r="J387" s="6" t="s">
        <v>106</v>
      </c>
    </row>
    <row r="388" spans="7:10" x14ac:dyDescent="0.2">
      <c r="G388" s="6"/>
      <c r="H388" s="6"/>
      <c r="I388" s="6"/>
      <c r="J388" s="6"/>
    </row>
    <row r="389" spans="7:10" x14ac:dyDescent="0.2">
      <c r="G389" s="6"/>
      <c r="H389" s="6"/>
      <c r="I389" s="6"/>
      <c r="J389" s="6"/>
    </row>
    <row r="390" spans="7:10" x14ac:dyDescent="0.2">
      <c r="G390" s="6"/>
      <c r="H390" s="6"/>
      <c r="I390" s="6"/>
      <c r="J390" s="6"/>
    </row>
    <row r="391" spans="7:10" x14ac:dyDescent="0.2">
      <c r="G391" s="6"/>
      <c r="H391" s="6"/>
      <c r="I391" s="6"/>
      <c r="J391" s="6"/>
    </row>
    <row r="392" spans="7:10" x14ac:dyDescent="0.2">
      <c r="G392" s="6"/>
      <c r="H392" s="6"/>
      <c r="I392" s="6"/>
      <c r="J392" s="6"/>
    </row>
    <row r="393" spans="7:10" x14ac:dyDescent="0.2">
      <c r="G393" s="6"/>
      <c r="H393" s="6"/>
      <c r="I393" s="6"/>
      <c r="J393" s="6"/>
    </row>
    <row r="394" spans="7:10" x14ac:dyDescent="0.2">
      <c r="G394" s="6"/>
      <c r="H394" s="6"/>
      <c r="I394" s="6"/>
      <c r="J394" s="6"/>
    </row>
    <row r="395" spans="7:10" x14ac:dyDescent="0.2">
      <c r="G395" s="6"/>
      <c r="H395" s="6"/>
      <c r="I395" s="6"/>
      <c r="J395" s="6"/>
    </row>
    <row r="396" spans="7:10" x14ac:dyDescent="0.2">
      <c r="G396" s="6"/>
      <c r="H396" s="6"/>
      <c r="I396" s="6"/>
      <c r="J396" s="6"/>
    </row>
    <row r="397" spans="7:10" x14ac:dyDescent="0.2">
      <c r="G397" s="6"/>
      <c r="H397" s="6"/>
      <c r="I397" s="6"/>
      <c r="J397" s="6"/>
    </row>
    <row r="398" spans="7:10" x14ac:dyDescent="0.2">
      <c r="G398" s="6"/>
      <c r="H398" s="6"/>
      <c r="I398" s="6"/>
      <c r="J398" s="6"/>
    </row>
    <row r="399" spans="7:10" x14ac:dyDescent="0.2">
      <c r="G399" s="6"/>
      <c r="H399" s="6"/>
      <c r="I399" s="6"/>
      <c r="J399" s="6"/>
    </row>
    <row r="400" spans="7:10" x14ac:dyDescent="0.2">
      <c r="G400" s="6"/>
      <c r="H400" s="6"/>
      <c r="I400" s="6"/>
      <c r="J400" s="6"/>
    </row>
    <row r="401" spans="7:10" x14ac:dyDescent="0.2">
      <c r="G401" s="6"/>
      <c r="H401" s="6"/>
      <c r="I401" s="6"/>
      <c r="J401" s="6"/>
    </row>
    <row r="402" spans="7:10" x14ac:dyDescent="0.2">
      <c r="G402" s="6"/>
      <c r="H402" s="6"/>
      <c r="I402" s="6"/>
      <c r="J402" s="6"/>
    </row>
    <row r="403" spans="7:10" x14ac:dyDescent="0.2">
      <c r="G403" s="6"/>
      <c r="H403" s="6"/>
      <c r="I403" s="6"/>
      <c r="J403" s="6"/>
    </row>
    <row r="404" spans="7:10" x14ac:dyDescent="0.2">
      <c r="G404" s="6"/>
      <c r="H404" s="6"/>
      <c r="I404" s="6"/>
      <c r="J404" s="6"/>
    </row>
    <row r="405" spans="7:10" x14ac:dyDescent="0.2">
      <c r="G405" s="6"/>
      <c r="H405" s="6"/>
      <c r="I405" s="6"/>
      <c r="J405" s="6"/>
    </row>
    <row r="406" spans="7:10" x14ac:dyDescent="0.2">
      <c r="G406" s="6"/>
      <c r="H406" s="6"/>
      <c r="I406" s="6"/>
      <c r="J406" s="6"/>
    </row>
    <row r="407" spans="7:10" x14ac:dyDescent="0.2">
      <c r="G407" s="6"/>
      <c r="H407" s="6"/>
      <c r="I407" s="6"/>
      <c r="J407" s="6"/>
    </row>
    <row r="408" spans="7:10" x14ac:dyDescent="0.2">
      <c r="G408" s="6"/>
      <c r="H408" s="6"/>
      <c r="I408" s="6"/>
      <c r="J408" s="6"/>
    </row>
    <row r="409" spans="7:10" x14ac:dyDescent="0.2">
      <c r="G409" s="6"/>
      <c r="H409" s="6"/>
      <c r="I409" s="6"/>
      <c r="J409" s="6"/>
    </row>
    <row r="410" spans="7:10" x14ac:dyDescent="0.2">
      <c r="G410" s="6"/>
      <c r="H410" s="6"/>
      <c r="I410" s="6"/>
      <c r="J410" s="6"/>
    </row>
    <row r="411" spans="7:10" x14ac:dyDescent="0.2">
      <c r="G411" s="6"/>
      <c r="H411" s="6"/>
      <c r="I411" s="6"/>
      <c r="J411" s="6"/>
    </row>
    <row r="412" spans="7:10" x14ac:dyDescent="0.2">
      <c r="G412" s="6"/>
      <c r="H412" s="6"/>
      <c r="I412" s="6"/>
      <c r="J412" s="6"/>
    </row>
    <row r="413" spans="7:10" x14ac:dyDescent="0.2">
      <c r="G413" s="6"/>
      <c r="H413" s="6"/>
      <c r="I413" s="6"/>
      <c r="J413" s="6"/>
    </row>
    <row r="414" spans="7:10" x14ac:dyDescent="0.2">
      <c r="G414" s="6"/>
      <c r="H414" s="6"/>
      <c r="I414" s="6"/>
      <c r="J414" s="6"/>
    </row>
    <row r="415" spans="7:10" x14ac:dyDescent="0.2">
      <c r="G415" s="6"/>
      <c r="H415" s="6"/>
      <c r="I415" s="6"/>
      <c r="J415" s="6"/>
    </row>
    <row r="416" spans="7:10" x14ac:dyDescent="0.2">
      <c r="G416" s="6"/>
      <c r="H416" s="6"/>
      <c r="I416" s="6"/>
      <c r="J416" s="6"/>
    </row>
    <row r="417" spans="7:10" x14ac:dyDescent="0.2">
      <c r="G417" s="6"/>
      <c r="H417" s="6"/>
      <c r="I417" s="6"/>
      <c r="J417" s="6"/>
    </row>
    <row r="418" spans="7:10" x14ac:dyDescent="0.2">
      <c r="G418" s="6"/>
      <c r="H418" s="6"/>
      <c r="I418" s="6"/>
      <c r="J418" s="6"/>
    </row>
    <row r="419" spans="7:10" x14ac:dyDescent="0.2">
      <c r="G419" s="6"/>
      <c r="H419" s="6"/>
      <c r="I419" s="6"/>
      <c r="J419" s="6"/>
    </row>
    <row r="420" spans="7:10" x14ac:dyDescent="0.2">
      <c r="G420" s="6"/>
      <c r="H420" s="6"/>
      <c r="I420" s="6"/>
      <c r="J420" s="6"/>
    </row>
    <row r="421" spans="7:10" x14ac:dyDescent="0.2">
      <c r="G421" s="6"/>
      <c r="H421" s="6"/>
      <c r="I421" s="6"/>
      <c r="J421" s="6"/>
    </row>
    <row r="422" spans="7:10" x14ac:dyDescent="0.2">
      <c r="G422" s="6"/>
      <c r="H422" s="6"/>
      <c r="I422" s="6"/>
      <c r="J422" s="6"/>
    </row>
    <row r="423" spans="7:10" x14ac:dyDescent="0.2">
      <c r="G423" s="6"/>
      <c r="H423" s="6"/>
      <c r="I423" s="6"/>
      <c r="J423" s="6"/>
    </row>
    <row r="424" spans="7:10" x14ac:dyDescent="0.2">
      <c r="G424" s="6"/>
      <c r="H424" s="6"/>
      <c r="I424" s="6"/>
      <c r="J424" s="6"/>
    </row>
    <row r="425" spans="7:10" x14ac:dyDescent="0.2">
      <c r="G425" s="6"/>
      <c r="H425" s="6"/>
      <c r="I425" s="6"/>
      <c r="J425" s="6"/>
    </row>
    <row r="426" spans="7:10" x14ac:dyDescent="0.2">
      <c r="G426" s="6"/>
      <c r="H426" s="6"/>
      <c r="I426" s="6"/>
      <c r="J426" s="6"/>
    </row>
    <row r="427" spans="7:10" x14ac:dyDescent="0.2">
      <c r="G427" s="6"/>
      <c r="H427" s="6"/>
      <c r="I427" s="6"/>
      <c r="J427" s="6"/>
    </row>
    <row r="428" spans="7:10" x14ac:dyDescent="0.2">
      <c r="G428" s="6"/>
      <c r="H428" s="6"/>
      <c r="I428" s="6"/>
      <c r="J428" s="6"/>
    </row>
    <row r="429" spans="7:10" x14ac:dyDescent="0.2">
      <c r="G429" s="6"/>
      <c r="H429" s="6"/>
      <c r="I429" s="6"/>
      <c r="J429" s="6"/>
    </row>
    <row r="430" spans="7:10" x14ac:dyDescent="0.2">
      <c r="G430" s="6"/>
      <c r="H430" s="6"/>
      <c r="I430" s="6"/>
      <c r="J430" s="6"/>
    </row>
    <row r="431" spans="7:10" x14ac:dyDescent="0.2">
      <c r="G431" s="6"/>
      <c r="H431" s="6"/>
      <c r="I431" s="6"/>
      <c r="J431" s="6"/>
    </row>
    <row r="432" spans="7:10" x14ac:dyDescent="0.2">
      <c r="G432" s="6"/>
      <c r="H432" s="6"/>
      <c r="I432" s="6"/>
      <c r="J432" s="6"/>
    </row>
    <row r="433" spans="7:10" x14ac:dyDescent="0.2">
      <c r="G433" s="6"/>
      <c r="H433" s="6"/>
      <c r="I433" s="6"/>
      <c r="J433" s="6"/>
    </row>
    <row r="434" spans="7:10" x14ac:dyDescent="0.2">
      <c r="G434" s="6"/>
      <c r="H434" s="6"/>
      <c r="I434" s="6"/>
      <c r="J434" s="6"/>
    </row>
    <row r="435" spans="7:10" x14ac:dyDescent="0.2">
      <c r="G435" s="6"/>
      <c r="H435" s="6"/>
      <c r="I435" s="6"/>
      <c r="J435" s="6"/>
    </row>
    <row r="436" spans="7:10" x14ac:dyDescent="0.2">
      <c r="G436" s="6"/>
      <c r="H436" s="6"/>
      <c r="I436" s="6"/>
      <c r="J436" s="6"/>
    </row>
    <row r="437" spans="7:10" x14ac:dyDescent="0.2">
      <c r="G437" s="6"/>
      <c r="H437" s="6"/>
      <c r="I437" s="6"/>
      <c r="J437" s="6"/>
    </row>
    <row r="438" spans="7:10" x14ac:dyDescent="0.2">
      <c r="G438" s="6"/>
      <c r="H438" s="6"/>
      <c r="I438" s="6"/>
      <c r="J438" s="6"/>
    </row>
    <row r="439" spans="7:10" x14ac:dyDescent="0.2">
      <c r="G439" s="6"/>
      <c r="H439" s="6"/>
      <c r="I439" s="6"/>
      <c r="J439" s="6"/>
    </row>
    <row r="440" spans="7:10" x14ac:dyDescent="0.2">
      <c r="G440" s="6"/>
      <c r="H440" s="6"/>
      <c r="I440" s="6"/>
      <c r="J440" s="6"/>
    </row>
    <row r="441" spans="7:10" x14ac:dyDescent="0.2">
      <c r="G441" s="6"/>
      <c r="H441" s="6"/>
      <c r="I441" s="6"/>
      <c r="J441" s="6"/>
    </row>
    <row r="442" spans="7:10" x14ac:dyDescent="0.2">
      <c r="G442" s="6"/>
      <c r="H442" s="6"/>
      <c r="I442" s="6"/>
      <c r="J442" s="6"/>
    </row>
    <row r="443" spans="7:10" x14ac:dyDescent="0.2">
      <c r="G443" s="6"/>
      <c r="H443" s="6"/>
      <c r="I443" s="6"/>
      <c r="J443" s="6"/>
    </row>
    <row r="444" spans="7:10" x14ac:dyDescent="0.2">
      <c r="G444" s="6"/>
      <c r="H444" s="6"/>
      <c r="I444" s="6"/>
      <c r="J444" s="6"/>
    </row>
    <row r="445" spans="7:10" x14ac:dyDescent="0.2">
      <c r="G445" s="6"/>
      <c r="H445" s="6"/>
      <c r="I445" s="6"/>
      <c r="J445" s="6"/>
    </row>
    <row r="446" spans="7:10" x14ac:dyDescent="0.2">
      <c r="G446" s="6"/>
      <c r="H446" s="6"/>
      <c r="I446" s="6"/>
      <c r="J446" s="6"/>
    </row>
    <row r="447" spans="7:10" x14ac:dyDescent="0.2">
      <c r="G447" s="6"/>
      <c r="H447" s="6"/>
      <c r="I447" s="6"/>
      <c r="J447" s="6"/>
    </row>
    <row r="448" spans="7:10" x14ac:dyDescent="0.2">
      <c r="G448" s="6"/>
      <c r="H448" s="6"/>
      <c r="I448" s="6"/>
      <c r="J448" s="6"/>
    </row>
    <row r="449" spans="7:10" x14ac:dyDescent="0.2">
      <c r="G449" s="6"/>
      <c r="H449" s="6"/>
      <c r="I449" s="6"/>
      <c r="J449" s="6"/>
    </row>
    <row r="450" spans="7:10" x14ac:dyDescent="0.2">
      <c r="G450" s="6"/>
      <c r="H450" s="6"/>
      <c r="I450" s="6"/>
      <c r="J450" s="6"/>
    </row>
    <row r="451" spans="7:10" x14ac:dyDescent="0.2">
      <c r="G451" s="6"/>
      <c r="H451" s="6"/>
      <c r="I451" s="6"/>
      <c r="J451" s="6"/>
    </row>
    <row r="452" spans="7:10" x14ac:dyDescent="0.2">
      <c r="G452" s="6"/>
      <c r="H452" s="6"/>
      <c r="I452" s="6"/>
      <c r="J452" s="6"/>
    </row>
    <row r="453" spans="7:10" x14ac:dyDescent="0.2">
      <c r="G453" s="6"/>
      <c r="H453" s="6"/>
      <c r="I453" s="6"/>
      <c r="J453" s="6"/>
    </row>
    <row r="454" spans="7:10" x14ac:dyDescent="0.2">
      <c r="G454" s="6"/>
      <c r="H454" s="6"/>
      <c r="I454" s="6"/>
      <c r="J454" s="6"/>
    </row>
    <row r="455" spans="7:10" x14ac:dyDescent="0.2">
      <c r="G455" s="6"/>
      <c r="H455" s="6"/>
      <c r="I455" s="6"/>
      <c r="J455" s="6"/>
    </row>
    <row r="456" spans="7:10" x14ac:dyDescent="0.2">
      <c r="G456" s="6"/>
      <c r="H456" s="6"/>
      <c r="I456" s="6"/>
      <c r="J456" s="6"/>
    </row>
    <row r="457" spans="7:10" x14ac:dyDescent="0.2">
      <c r="G457" s="6"/>
      <c r="H457" s="6"/>
      <c r="I457" s="6"/>
      <c r="J457" s="6"/>
    </row>
    <row r="458" spans="7:10" x14ac:dyDescent="0.2">
      <c r="G458" s="6"/>
      <c r="H458" s="6"/>
      <c r="I458" s="6"/>
      <c r="J458" s="6"/>
    </row>
    <row r="459" spans="7:10" x14ac:dyDescent="0.2">
      <c r="G459" s="6"/>
      <c r="H459" s="6"/>
      <c r="I459" s="6"/>
      <c r="J459" s="6"/>
    </row>
    <row r="460" spans="7:10" x14ac:dyDescent="0.2">
      <c r="G460" s="6"/>
      <c r="H460" s="6"/>
      <c r="I460" s="6"/>
      <c r="J460" s="6"/>
    </row>
    <row r="461" spans="7:10" x14ac:dyDescent="0.2">
      <c r="G461" s="6"/>
      <c r="H461" s="6"/>
      <c r="I461" s="6"/>
      <c r="J461" s="6"/>
    </row>
    <row r="462" spans="7:10" x14ac:dyDescent="0.2">
      <c r="G462" s="6"/>
      <c r="H462" s="6"/>
      <c r="I462" s="6"/>
      <c r="J462" s="6"/>
    </row>
    <row r="463" spans="7:10" x14ac:dyDescent="0.2">
      <c r="G463" s="6"/>
      <c r="H463" s="6"/>
      <c r="I463" s="6"/>
      <c r="J463" s="6"/>
    </row>
    <row r="464" spans="7:10" x14ac:dyDescent="0.2">
      <c r="G464" s="6"/>
      <c r="H464" s="6"/>
      <c r="I464" s="6"/>
      <c r="J464" s="6"/>
    </row>
    <row r="465" spans="7:10" x14ac:dyDescent="0.2">
      <c r="G465" s="6"/>
      <c r="H465" s="6"/>
      <c r="I465" s="6"/>
      <c r="J465" s="6"/>
    </row>
    <row r="466" spans="7:10" x14ac:dyDescent="0.2">
      <c r="G466" s="6"/>
      <c r="H466" s="6"/>
      <c r="I466" s="6"/>
      <c r="J466" s="6"/>
    </row>
    <row r="467" spans="7:10" x14ac:dyDescent="0.2">
      <c r="G467" s="6"/>
      <c r="H467" s="6"/>
      <c r="I467" s="6"/>
      <c r="J467" s="6"/>
    </row>
    <row r="468" spans="7:10" x14ac:dyDescent="0.2">
      <c r="G468" s="6"/>
      <c r="H468" s="6"/>
      <c r="I468" s="6"/>
      <c r="J468" s="6"/>
    </row>
    <row r="469" spans="7:10" x14ac:dyDescent="0.2">
      <c r="G469" s="6"/>
      <c r="H469" s="6"/>
      <c r="I469" s="6"/>
      <c r="J469" s="6"/>
    </row>
    <row r="470" spans="7:10" x14ac:dyDescent="0.2">
      <c r="G470" s="6"/>
      <c r="H470" s="6"/>
      <c r="I470" s="6"/>
      <c r="J470" s="6"/>
    </row>
    <row r="471" spans="7:10" x14ac:dyDescent="0.2">
      <c r="G471" s="6"/>
      <c r="H471" s="6"/>
      <c r="I471" s="6"/>
      <c r="J471" s="6"/>
    </row>
    <row r="472" spans="7:10" x14ac:dyDescent="0.2">
      <c r="G472" s="6"/>
      <c r="H472" s="6"/>
      <c r="I472" s="6"/>
      <c r="J472" s="6"/>
    </row>
    <row r="473" spans="7:10" x14ac:dyDescent="0.2">
      <c r="G473" s="6"/>
      <c r="H473" s="6"/>
      <c r="I473" s="6"/>
      <c r="J473" s="6"/>
    </row>
    <row r="474" spans="7:10" x14ac:dyDescent="0.2">
      <c r="G474" s="6"/>
      <c r="H474" s="6"/>
      <c r="I474" s="6"/>
      <c r="J474" s="6"/>
    </row>
    <row r="475" spans="7:10" x14ac:dyDescent="0.2">
      <c r="G475" s="6"/>
      <c r="H475" s="6"/>
      <c r="I475" s="6"/>
      <c r="J475" s="6"/>
    </row>
    <row r="476" spans="7:10" x14ac:dyDescent="0.2">
      <c r="G476" s="6"/>
      <c r="H476" s="6"/>
      <c r="I476" s="6"/>
      <c r="J476" s="6"/>
    </row>
    <row r="477" spans="7:10" x14ac:dyDescent="0.2">
      <c r="G477" s="6"/>
      <c r="H477" s="6"/>
      <c r="I477" s="6"/>
      <c r="J477" s="6"/>
    </row>
    <row r="478" spans="7:10" x14ac:dyDescent="0.2">
      <c r="G478" s="6"/>
      <c r="H478" s="6"/>
      <c r="I478" s="6"/>
      <c r="J478" s="6"/>
    </row>
    <row r="479" spans="7:10" x14ac:dyDescent="0.2">
      <c r="G479" s="6"/>
      <c r="H479" s="6"/>
      <c r="I479" s="6"/>
      <c r="J479" s="6"/>
    </row>
    <row r="480" spans="7:10" x14ac:dyDescent="0.2">
      <c r="G480" s="6"/>
      <c r="H480" s="6"/>
      <c r="I480" s="6"/>
      <c r="J480" s="6"/>
    </row>
    <row r="481" spans="7:10" x14ac:dyDescent="0.2">
      <c r="G481" s="6"/>
      <c r="H481" s="6"/>
      <c r="I481" s="6"/>
      <c r="J481" s="6"/>
    </row>
    <row r="482" spans="7:10" x14ac:dyDescent="0.2">
      <c r="G482" s="6"/>
      <c r="H482" s="6"/>
      <c r="I482" s="6"/>
      <c r="J482" s="6"/>
    </row>
    <row r="483" spans="7:10" x14ac:dyDescent="0.2">
      <c r="G483" s="6"/>
      <c r="H483" s="6"/>
      <c r="I483" s="6"/>
      <c r="J483" s="6"/>
    </row>
    <row r="484" spans="7:10" x14ac:dyDescent="0.2">
      <c r="G484" s="6"/>
      <c r="H484" s="6"/>
      <c r="I484" s="6"/>
      <c r="J484" s="6"/>
    </row>
    <row r="485" spans="7:10" x14ac:dyDescent="0.2">
      <c r="G485" s="6"/>
      <c r="H485" s="6"/>
      <c r="I485" s="6"/>
      <c r="J485" s="6"/>
    </row>
    <row r="486" spans="7:10" x14ac:dyDescent="0.2">
      <c r="G486" s="6"/>
      <c r="H486" s="6"/>
      <c r="I486" s="6"/>
      <c r="J486" s="6"/>
    </row>
  </sheetData>
  <sheetProtection password="A90E" sheet="1" objects="1" scenarios="1" formatCells="0" formatColumns="0" formatRows="0" insertColumns="0" insertRows="0" insertHyperlinks="0" deleteColumns="0" deleteRows="0" sort="0" autoFilter="0" pivotTables="0"/>
  <pageMargins left="0.7" right="0.7" top="0.75" bottom="0.75" header="0.3" footer="0.3"/>
  <pageSetup paperSize="9" orientation="portrait" horizontalDpi="300" verticalDpi="30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dimension ref="A1:J10"/>
  <sheetViews>
    <sheetView workbookViewId="0">
      <selection activeCell="C5" sqref="C5"/>
    </sheetView>
  </sheetViews>
  <sheetFormatPr baseColWidth="10" defaultColWidth="9.140625" defaultRowHeight="11.25" x14ac:dyDescent="0.2"/>
  <cols>
    <col min="1" max="1" width="21.7109375" style="42" customWidth="1"/>
    <col min="2" max="2" width="33.42578125" style="42" customWidth="1"/>
    <col min="3" max="3" width="20.28515625" style="42" customWidth="1"/>
    <col min="4" max="4" width="20.85546875" style="42" customWidth="1"/>
    <col min="5" max="5" width="22.28515625" style="42" customWidth="1"/>
    <col min="6" max="6" width="20.5703125" style="42" customWidth="1"/>
    <col min="7" max="7" width="11.42578125" style="42" customWidth="1"/>
    <col min="8" max="8" width="6.85546875" style="42" customWidth="1"/>
    <col min="9" max="9" width="6.42578125" style="42" customWidth="1"/>
    <col min="10" max="10" width="7.85546875" style="42" customWidth="1"/>
    <col min="11" max="11" width="8" style="42" customWidth="1"/>
    <col min="12" max="12" width="12.7109375" style="42" customWidth="1"/>
    <col min="13" max="13" width="19.7109375" style="42" customWidth="1"/>
    <col min="14" max="14" width="9.140625" style="42" customWidth="1"/>
    <col min="15" max="16384" width="9.140625" style="42"/>
  </cols>
  <sheetData>
    <row r="1" spans="1:10" ht="33.950000000000003" customHeight="1" x14ac:dyDescent="0.2">
      <c r="A1" s="48" t="s">
        <v>745</v>
      </c>
      <c r="B1" s="48" t="s">
        <v>7</v>
      </c>
      <c r="C1" s="48" t="s">
        <v>533</v>
      </c>
      <c r="D1" s="48" t="s">
        <v>668</v>
      </c>
      <c r="E1" s="48" t="s">
        <v>495</v>
      </c>
      <c r="F1" s="48" t="s">
        <v>506</v>
      </c>
    </row>
    <row r="2" spans="1:10" ht="11.25" customHeight="1" x14ac:dyDescent="0.2">
      <c r="A2" s="50"/>
      <c r="B2" s="50"/>
      <c r="C2" s="50"/>
      <c r="D2" s="50"/>
      <c r="E2" s="50"/>
      <c r="F2" s="50"/>
    </row>
    <row r="3" spans="1:10" ht="11.25" customHeight="1" x14ac:dyDescent="0.2">
      <c r="A3" s="67" t="s">
        <v>688</v>
      </c>
      <c r="B3" s="51" t="s">
        <v>372</v>
      </c>
      <c r="C3" s="59"/>
      <c r="D3" s="67" t="s">
        <v>418</v>
      </c>
      <c r="E3" s="51" t="s">
        <v>613</v>
      </c>
      <c r="F3" s="50"/>
    </row>
    <row r="4" spans="1:10" ht="11.25" customHeight="1" x14ac:dyDescent="0.2">
      <c r="A4" s="68"/>
      <c r="B4" s="51" t="s">
        <v>72</v>
      </c>
      <c r="C4" s="49" t="str">
        <f>IF(C3="","",IF(AND(MONTH(C3)&gt;=1,MONTH(C3)&lt;=3),1,IF(AND(MONTH(C3)&gt;=4,MONTH(C3)&lt;=6),2,IF(AND(MONTH(C3)&gt;=7,MONTH(C3)&lt;=9),3,4))))</f>
        <v/>
      </c>
      <c r="D4" s="68"/>
      <c r="E4" s="51" t="s">
        <v>91</v>
      </c>
      <c r="F4" s="50"/>
    </row>
    <row r="5" spans="1:10" ht="11.25" customHeight="1" x14ac:dyDescent="0.2">
      <c r="A5" s="68"/>
      <c r="B5" s="51" t="s">
        <v>602</v>
      </c>
      <c r="C5" s="59"/>
      <c r="D5" s="68"/>
      <c r="E5" s="51" t="s">
        <v>121</v>
      </c>
      <c r="F5" s="50"/>
    </row>
    <row r="6" spans="1:10" ht="11.25" customHeight="1" x14ac:dyDescent="0.2">
      <c r="A6" s="68"/>
      <c r="B6" s="51" t="s">
        <v>72</v>
      </c>
      <c r="C6" s="49" t="str">
        <f>IF(C5="","",IF(AND(MONTH(C5)&gt;=1,MONTH(C5)&lt;=3),1,IF(AND(MONTH(C5)&gt;=4,MONTH(C5)&lt;=6),2,IF(AND(MONTH(C5)&gt;=7,MONTH(C5)&lt;=9),3,4))))</f>
        <v/>
      </c>
      <c r="D6" s="68"/>
      <c r="E6" s="51" t="s">
        <v>618</v>
      </c>
      <c r="F6" s="50"/>
    </row>
    <row r="8" spans="1:10" ht="11.25" customHeight="1" x14ac:dyDescent="0.2">
      <c r="A8" s="56" t="s">
        <v>724</v>
      </c>
      <c r="B8" s="56" t="s">
        <v>736</v>
      </c>
      <c r="C8" s="56" t="s">
        <v>718</v>
      </c>
      <c r="D8" s="56" t="s">
        <v>701</v>
      </c>
      <c r="E8" s="56" t="s">
        <v>308</v>
      </c>
      <c r="F8" s="56" t="s">
        <v>703</v>
      </c>
    </row>
    <row r="9" spans="1:10" ht="11.25" customHeight="1" x14ac:dyDescent="0.2">
      <c r="A9" s="52"/>
      <c r="B9" s="53" t="str">
        <f ca="1">IFERROR(INDEX(UNSPSCDes,MATCH(INDIRECT(ADDRESS(ROW(),COLUMN()-1,4)),UNSPSCCode,0)),"")</f>
        <v/>
      </c>
      <c r="C9" s="52"/>
      <c r="D9" s="52"/>
      <c r="E9" s="55"/>
      <c r="F9" s="54">
        <f ca="1">INDIRECT(ADDRESS(ROW(),COLUMN()-2,4))*INDIRECT(ADDRESS(ROW(),COLUMN()-1,4))</f>
        <v>0</v>
      </c>
    </row>
    <row r="10" spans="1:10" ht="33.75" customHeight="1" x14ac:dyDescent="0.2">
      <c r="E10" s="57" t="s">
        <v>581</v>
      </c>
      <c r="F10" s="58">
        <f ca="1">SUM(Table3[MONTO TOTAL ESTIMADO])</f>
        <v>0</v>
      </c>
      <c r="H10" s="42">
        <f>C2</f>
        <v>0</v>
      </c>
      <c r="I10" s="42">
        <f>E2</f>
        <v>0</v>
      </c>
      <c r="J10" s="42">
        <f>D2</f>
        <v>0</v>
      </c>
    </row>
  </sheetData>
  <sheetProtection password="A90E" sheet="1" formatCells="0" formatColumns="0" formatRows="0" insertColumns="0" insertRows="0" insertHyperlinks="0" deleteColumns="0" deleteRows="0" sort="0" autoFilter="0" pivotTables="0"/>
  <mergeCells count="2">
    <mergeCell ref="A3:A6"/>
    <mergeCell ref="D3:D6"/>
  </mergeCells>
  <dataValidations count="10">
    <dataValidation type="date" operator="lessThanOrEqual" allowBlank="1" showInputMessage="1" showErrorMessage="1" sqref="C3">
      <formula1>C5</formula1>
    </dataValidation>
    <dataValidation type="date" operator="greaterThanOrEqual" allowBlank="1" showInputMessage="1" showErrorMessage="1" sqref="C5">
      <formula1>C3</formula1>
    </dataValidation>
    <dataValidation type="list" allowBlank="1" showInputMessage="1" showErrorMessage="1" sqref="F3">
      <formula1>IF(INDIRECT(ADDRESS(ROW()+1,COLUMN(),4))="",RegionList,INDEX(RegionColumn,MATCH(INDIRECT(ADDRESS(ROW()+1,COLUMN(),4)),ProvinciaList,0)))</formula1>
    </dataValidation>
    <dataValidation type="list" allowBlank="1" showInputMessage="1" showErrorMessage="1" sqref="F4">
      <formula1>IF(INDIRECT(ADDRESS(ROW()+1,COLUMN(),4))="",OFFSET(RegionStart,MATCH(INDIRECT(ADDRESS(ROW()-1,COLUMN(),4)),RegionColumn,0)-1,1,COUNTIF(RegionColumn,INDIRECT(ADDRESS(ROW()-1,COLUMN(),4))),1),INDEX(ProvinciaColumn,MATCH(INDIRECT(ADDRESS(ROW()+1,COLUMN(),4)),MunicipioList,0)))</formula1>
    </dataValidation>
    <dataValidation type="list" allowBlank="1" showInputMessage="1" showErrorMessage="1" sqref="F5">
      <formula1>IF(INDIRECT(ADDRESS(ROW()+1,COLUMN(),4))="",OFFSET(ProvinciaStart,MATCH(INDIRECT(ADDRESS(ROW()-1,COLUMN(),4)),ProvinciaColumn,0)-1,1,COUNTIF(ProvinciaColumn,INDIRECT(ADDRESS(ROW()-1,COLUMN(),4))),1),INDEX(MunicipioColumn,MATCH(INDIRECT(ADDRESS(ROW()+1,COLUMN(),4)),DistritoList,0)))</formula1>
    </dataValidation>
    <dataValidation type="list" allowBlank="1" showInputMessage="1" showErrorMessage="1" sqref="F6">
      <formula1>OFFSET(MunicipioStart,MATCH(INDIRECT(ADDRESS(ROW()-1,COLUMN(),4)),MunicipioColumn,0)-1,1,COUNTIF(MunicipioColumn,INDIRECT(ADDRESS(ROW()-1,COLUMN(),4))),1)</formula1>
    </dataValidation>
    <dataValidation type="whole" operator="greaterThan" allowBlank="1" showInputMessage="1" showErrorMessage="1" sqref="A9">
      <formula1>0</formula1>
    </dataValidation>
    <dataValidation type="list" allowBlank="1" showInputMessage="1" showErrorMessage="1" sqref="C9">
      <formula1>UnidadesList</formula1>
    </dataValidation>
    <dataValidation type="decimal" operator="greaterThan" allowBlank="1" showInputMessage="1" showErrorMessage="1" sqref="D9">
      <formula1>0</formula1>
    </dataValidation>
    <dataValidation type="decimal" operator="greaterThan" allowBlank="1" showInputMessage="1" showErrorMessage="1" sqref="E9">
      <formula1>0</formula1>
    </dataValidation>
  </dataValidations>
  <pageMargins left="0.7" right="0.7" top="0.75" bottom="0.75" header="0.3" footer="0.3"/>
  <pageSetup paperSize="9" orientation="portrait"/>
  <drawing r:id="rId1"/>
  <legacyDrawing r:id="rId2"/>
  <mc:AlternateContent xmlns:mc="http://schemas.openxmlformats.org/markup-compatibility/2006">
    <mc:Choice Requires="x14">
      <controls>
        <mc:AlternateContent xmlns:mc="http://schemas.openxmlformats.org/markup-compatibility/2006">
          <mc:Choice Requires="x14">
            <control shapeId="14340" r:id="rId3" name="Button 4">
              <controlPr defaultSize="0" autoFill="0" autoLine="0" autoPict="0" macro="[0]!Sheet1.InsertNewTableRow">
                <anchor moveWithCells="1" sizeWithCells="1">
                  <from>
                    <xdr:col>6</xdr:col>
                    <xdr:colOff>0</xdr:colOff>
                    <xdr:row>2</xdr:row>
                    <xdr:rowOff>0</xdr:rowOff>
                  </from>
                  <to>
                    <xdr:col>7</xdr:col>
                    <xdr:colOff>0</xdr:colOff>
                    <xdr:row>3</xdr:row>
                    <xdr:rowOff>38100</xdr:rowOff>
                  </to>
                </anchor>
              </controlPr>
            </control>
          </mc:Choice>
        </mc:AlternateContent>
        <mc:AlternateContent xmlns:mc="http://schemas.openxmlformats.org/markup-compatibility/2006">
          <mc:Choice Requires="x14">
            <control shapeId="14339" r:id="rId4" name="Button 3">
              <controlPr defaultSize="0" autoFill="0" autoLine="0" autoPict="0" macro="[0]!Sheet1.deleteRow">
                <anchor moveWithCells="1" sizeWithCells="1">
                  <from>
                    <xdr:col>6</xdr:col>
                    <xdr:colOff>0</xdr:colOff>
                    <xdr:row>0</xdr:row>
                    <xdr:rowOff>361950</xdr:rowOff>
                  </from>
                  <to>
                    <xdr:col>7</xdr:col>
                    <xdr:colOff>0</xdr:colOff>
                    <xdr:row>2</xdr:row>
                    <xdr:rowOff>9525</xdr:rowOff>
                  </to>
                </anchor>
              </controlPr>
            </control>
          </mc:Choice>
        </mc:AlternateContent>
        <mc:AlternateContent xmlns:mc="http://schemas.openxmlformats.org/markup-compatibility/2006">
          <mc:Choice Requires="x14">
            <control shapeId="14338" r:id="rId5" name="Button 2">
              <controlPr defaultSize="0" autoFill="0" autoLine="0" autoPict="0" macro="[0]!Sheet1.CopyNewProcedure">
                <anchor moveWithCells="1" sizeWithCells="1">
                  <from>
                    <xdr:col>0</xdr:col>
                    <xdr:colOff>180975</xdr:colOff>
                    <xdr:row>19</xdr:row>
                    <xdr:rowOff>57150</xdr:rowOff>
                  </from>
                  <to>
                    <xdr:col>1</xdr:col>
                    <xdr:colOff>809625</xdr:colOff>
                    <xdr:row>22</xdr:row>
                    <xdr:rowOff>0</xdr:rowOff>
                  </to>
                </anchor>
              </controlPr>
            </control>
          </mc:Choice>
        </mc:AlternateContent>
        <mc:AlternateContent xmlns:mc="http://schemas.openxmlformats.org/markup-compatibility/2006">
          <mc:Choice Requires="x14">
            <control shapeId="14337" r:id="rId6" name="Button 1">
              <controlPr defaultSize="0" autoFill="0" autoLine="0" autoPict="0" macro="[0]!Sheet1.deleteProcedure">
                <anchor moveWithCells="1" sizeWithCells="1">
                  <from>
                    <xdr:col>6</xdr:col>
                    <xdr:colOff>0</xdr:colOff>
                    <xdr:row>9</xdr:row>
                    <xdr:rowOff>0</xdr:rowOff>
                  </from>
                  <to>
                    <xdr:col>7</xdr:col>
                    <xdr:colOff>0</xdr:colOff>
                    <xdr:row>10</xdr:row>
                    <xdr:rowOff>0</xdr:rowOff>
                  </to>
                </anchor>
              </controlPr>
            </control>
          </mc:Choice>
        </mc:AlternateContent>
      </controls>
    </mc:Choice>
  </mc:AlternateContent>
  <tableParts count="1">
    <tablePart r:id="rId7"/>
  </tableParts>
  <extLst>
    <ext xmlns:x14="http://schemas.microsoft.com/office/spreadsheetml/2009/9/main" uri="{CCE6A557-97BC-4b89-ADB6-D9C93CAAB3DF}">
      <x14:dataValidations xmlns:xm="http://schemas.microsoft.com/office/excel/2006/main" count="3">
        <x14:dataValidation type="list" allowBlank="1" showInputMessage="1" showErrorMessage="1">
          <x14:formula1>
            <xm:f>'Informacion '!$S$3:$S$7</xm:f>
          </x14:formula1>
          <xm:sqref>C2</xm:sqref>
        </x14:dataValidation>
        <x14:dataValidation type="list" allowBlank="1" showInputMessage="1" showErrorMessage="1">
          <x14:formula1>
            <xm:f>'Informacion '!$L$3:$L$17</xm:f>
          </x14:formula1>
          <xm:sqref>D2</xm:sqref>
        </x14:dataValidation>
        <x14:dataValidation type="list" allowBlank="1" showInputMessage="1" showErrorMessage="1">
          <x14:formula1>
            <xm:f>'Informacion '!$N$3:$N$5</xm:f>
          </x14:formula1>
          <xm:sqref>E2</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C267AE6B34C6F847B0AEF480935CC52C" ma:contentTypeVersion="0" ma:contentTypeDescription="Crear nuevo documento." ma:contentTypeScope="" ma:versionID="80c0da8acd849f60181200db1e0cd917">
  <xsd:schema xmlns:xsd="http://www.w3.org/2001/XMLSchema" xmlns:p="http://schemas.microsoft.com/office/2006/metadata/properties" targetNamespace="http://schemas.microsoft.com/office/2006/metadata/properties" ma:root="true" ma:fieldsID="b004d877ca112f136821ba8115f64728">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ma:readOnly="true"/>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6A7678EF-896C-42FF-83BC-44B580AAD303}">
  <ds:schemaRefs>
    <ds:schemaRef ds:uri="http://purl.org/dc/dcmitype/"/>
    <ds:schemaRef ds:uri="http://schemas.microsoft.com/office/2006/documentManagement/types"/>
    <ds:schemaRef ds:uri="http://www.w3.org/XML/1998/namespace"/>
    <ds:schemaRef ds:uri="http://purl.org/dc/elements/1.1/"/>
    <ds:schemaRef ds:uri="http://schemas.openxmlformats.org/package/2006/metadata/core-properties"/>
    <ds:schemaRef ds:uri="http://schemas.microsoft.com/office/2006/metadata/properties"/>
    <ds:schemaRef ds:uri="http://purl.org/dc/terms/"/>
  </ds:schemaRefs>
</ds:datastoreItem>
</file>

<file path=customXml/itemProps2.xml><?xml version="1.0" encoding="utf-8"?>
<ds:datastoreItem xmlns:ds="http://schemas.openxmlformats.org/officeDocument/2006/customXml" ds:itemID="{47C5504C-B0AE-4EB1-B554-497AA7F618DC}">
  <ds:schemaRefs>
    <ds:schemaRef ds:uri="http://schemas.microsoft.com/sharepoint/v3/contenttype/forms"/>
  </ds:schemaRefs>
</ds:datastoreItem>
</file>

<file path=customXml/itemProps3.xml><?xml version="1.0" encoding="utf-8"?>
<ds:datastoreItem xmlns:ds="http://schemas.openxmlformats.org/officeDocument/2006/customXml" ds:itemID="{EF8FCA8B-46F4-442F-B7C8-CBECD7B7BC1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48</vt:i4>
      </vt:variant>
    </vt:vector>
  </HeadingPairs>
  <TitlesOfParts>
    <vt:vector size="51" baseType="lpstr">
      <vt:lpstr>PACC</vt:lpstr>
      <vt:lpstr>Informacion </vt:lpstr>
      <vt:lpstr>ProcedureTemplate</vt:lpstr>
      <vt:lpstr>PACC!Área_de_impresión</vt:lpstr>
      <vt:lpstr>Bienes</vt:lpstr>
      <vt:lpstr>Concesiones</vt:lpstr>
      <vt:lpstr>ConsultoriaServicios</vt:lpstr>
      <vt:lpstr>DistritoList</vt:lpstr>
      <vt:lpstr>MIPYMEList</vt:lpstr>
      <vt:lpstr>MIPYMEMujer</vt:lpstr>
      <vt:lpstr>MIPYMENo</vt:lpstr>
      <vt:lpstr>MIPYMEOculto</vt:lpstr>
      <vt:lpstr>MIPYMESí</vt:lpstr>
      <vt:lpstr>ModCM</vt:lpstr>
      <vt:lpstr>ModCP</vt:lpstr>
      <vt:lpstr>ModCU</vt:lpstr>
      <vt:lpstr>ModE1508</vt:lpstr>
      <vt:lpstr>ModE40</vt:lpstr>
      <vt:lpstr>ModEBienes</vt:lpstr>
      <vt:lpstr>ModEConstruccion</vt:lpstr>
      <vt:lpstr>ModEObras</vt:lpstr>
      <vt:lpstr>ModEProveedor</vt:lpstr>
      <vt:lpstr>ModEPublicidad</vt:lpstr>
      <vt:lpstr>ModLI</vt:lpstr>
      <vt:lpstr>ModLP</vt:lpstr>
      <vt:lpstr>ModLR</vt:lpstr>
      <vt:lpstr>ModSI</vt:lpstr>
      <vt:lpstr>ModSO</vt:lpstr>
      <vt:lpstr>MunicipioColumn</vt:lpstr>
      <vt:lpstr>MunicipioList</vt:lpstr>
      <vt:lpstr>MunicipioStart</vt:lpstr>
      <vt:lpstr>ObjetoContratacion</vt:lpstr>
      <vt:lpstr>ObjetoContratacionList</vt:lpstr>
      <vt:lpstr>ObjetoContratacionOculto</vt:lpstr>
      <vt:lpstr>Obras</vt:lpstr>
      <vt:lpstr>ProcedimientoOculto</vt:lpstr>
      <vt:lpstr>ProcedureTemplateRange</vt:lpstr>
      <vt:lpstr>ProvinciaColumn</vt:lpstr>
      <vt:lpstr>ProvinciaList</vt:lpstr>
      <vt:lpstr>ProvinciaStart</vt:lpstr>
      <vt:lpstr>RegionColumn</vt:lpstr>
      <vt:lpstr>RegionList</vt:lpstr>
      <vt:lpstr>RegionStart</vt:lpstr>
      <vt:lpstr>Servicios</vt:lpstr>
      <vt:lpstr>ServiciosConsultoria</vt:lpstr>
      <vt:lpstr>TiposProcedimientoList</vt:lpstr>
      <vt:lpstr>TotalEstArea</vt:lpstr>
      <vt:lpstr>TotalEstColumnName</vt:lpstr>
      <vt:lpstr>TotalEstColumnValue</vt:lpstr>
      <vt:lpstr>TotalEstLabel</vt:lpstr>
      <vt:lpstr>UnidadesList</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Furtado Viana</dc:creator>
  <cp:lastModifiedBy>Jacinto Perez Barruos</cp:lastModifiedBy>
  <dcterms:created xsi:type="dcterms:W3CDTF">2014-09-22T13:14:27Z</dcterms:created>
  <dcterms:modified xsi:type="dcterms:W3CDTF">2020-01-10T18:38:26Z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0x010100C267AE6B34C6F847B0AEF480935CC52C</vt:lpwstr>
  </property>
</Properties>
</file>