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2_Finanzas\Inventario en Almacén\2025\Segundo trimestre\Datos Abiertos\"/>
    </mc:Choice>
  </mc:AlternateContent>
  <bookViews>
    <workbookView xWindow="0" yWindow="0" windowWidth="15360" windowHeight="7500"/>
  </bookViews>
  <sheets>
    <sheet name="Inventario Materiales Gastable" sheetId="1" r:id="rId1"/>
  </sheets>
  <definedNames>
    <definedName name="_xlnm._FilterDatabase" localSheetId="0" hidden="1">'Inventario Materiales Gastable'!$A$5:$Q$1174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94" i="1" l="1"/>
  <c r="F1196" i="1" s="1"/>
  <c r="H1196" i="1"/>
  <c r="O1191" i="1" l="1"/>
  <c r="K89" i="1"/>
  <c r="N89" i="1" s="1"/>
  <c r="K243" i="1"/>
  <c r="N243" i="1" s="1"/>
  <c r="K791" i="1"/>
  <c r="N791" i="1" s="1"/>
  <c r="K255" i="1"/>
  <c r="N255" i="1" s="1"/>
  <c r="K341" i="1"/>
  <c r="N341" i="1" s="1"/>
  <c r="K323" i="1"/>
  <c r="N323" i="1" s="1"/>
  <c r="K211" i="1"/>
  <c r="N211" i="1" s="1"/>
  <c r="K174" i="1"/>
  <c r="N174" i="1" s="1"/>
  <c r="K134" i="1"/>
  <c r="N134" i="1" s="1"/>
  <c r="K46" i="1"/>
  <c r="N46" i="1" s="1"/>
  <c r="K45" i="1"/>
  <c r="N45" i="1" s="1"/>
  <c r="K52" i="1"/>
  <c r="N52" i="1" s="1"/>
  <c r="K54" i="1"/>
  <c r="N54" i="1" s="1"/>
  <c r="K55" i="1"/>
  <c r="N55" i="1" s="1"/>
  <c r="K53" i="1"/>
  <c r="N53" i="1" s="1"/>
  <c r="K56" i="1"/>
  <c r="N56" i="1" s="1"/>
  <c r="H302" i="1" l="1"/>
  <c r="K299" i="1"/>
  <c r="K244" i="1"/>
  <c r="K256" i="1"/>
  <c r="G254" i="1"/>
  <c r="K225" i="1"/>
  <c r="K226" i="1"/>
  <c r="K227" i="1"/>
  <c r="I182" i="1" l="1"/>
  <c r="K87" i="1" l="1"/>
  <c r="K86" i="1"/>
  <c r="I6" i="1"/>
  <c r="I706" i="1" l="1"/>
  <c r="I403" i="1"/>
  <c r="H319" i="1" l="1"/>
  <c r="I1120" i="1" l="1"/>
  <c r="N299" i="1"/>
  <c r="I11" i="1"/>
  <c r="I646" i="1" l="1"/>
  <c r="I512" i="1"/>
  <c r="I283" i="1"/>
  <c r="I157" i="1"/>
  <c r="I1118" i="1"/>
  <c r="I1119" i="1"/>
  <c r="I1005" i="1"/>
  <c r="I598" i="1"/>
  <c r="I932" i="1"/>
  <c r="I787" i="1"/>
  <c r="I786" i="1"/>
  <c r="I738" i="1"/>
  <c r="I737" i="1"/>
  <c r="I979" i="1"/>
  <c r="I792" i="1"/>
  <c r="I123" i="1"/>
  <c r="I375" i="1"/>
  <c r="I357" i="1"/>
  <c r="I1180" i="1"/>
  <c r="I875" i="1"/>
  <c r="I1055" i="1"/>
  <c r="I200" i="1"/>
  <c r="I93" i="1"/>
  <c r="I976" i="1"/>
  <c r="I811" i="1"/>
  <c r="I720" i="1"/>
  <c r="I489" i="1"/>
  <c r="I600" i="1"/>
  <c r="I298" i="1"/>
  <c r="K116" i="1" l="1"/>
  <c r="N116" i="1" s="1"/>
  <c r="K115" i="1"/>
  <c r="N115" i="1" s="1"/>
  <c r="K1122" i="1"/>
  <c r="N1122" i="1" s="1"/>
  <c r="K1124" i="1"/>
  <c r="N1124" i="1" s="1"/>
  <c r="K870" i="1"/>
  <c r="N870" i="1" s="1"/>
  <c r="K560" i="1"/>
  <c r="N560" i="1" s="1"/>
  <c r="K562" i="1"/>
  <c r="N562" i="1" s="1"/>
  <c r="K665" i="1"/>
  <c r="N665" i="1" s="1"/>
  <c r="K664" i="1"/>
  <c r="N664" i="1" s="1"/>
  <c r="K561" i="1"/>
  <c r="N561" i="1" s="1"/>
  <c r="K992" i="1"/>
  <c r="N992" i="1" s="1"/>
  <c r="K247" i="1"/>
  <c r="N247" i="1" s="1"/>
  <c r="K277" i="1"/>
  <c r="N277" i="1" s="1"/>
  <c r="H274" i="1"/>
  <c r="H270" i="1"/>
  <c r="H246" i="1"/>
  <c r="N226" i="1"/>
  <c r="N225" i="1"/>
  <c r="N1077" i="1"/>
  <c r="N1071" i="1"/>
  <c r="N1072" i="1"/>
  <c r="N87" i="1"/>
  <c r="K69" i="1"/>
  <c r="N69" i="1" s="1"/>
  <c r="K9" i="1"/>
  <c r="N9" i="1" s="1"/>
  <c r="K68" i="1"/>
  <c r="N68" i="1" s="1"/>
  <c r="K1121" i="1" l="1"/>
  <c r="N1121" i="1" s="1"/>
  <c r="K990" i="1"/>
  <c r="N990" i="1" s="1"/>
  <c r="K989" i="1"/>
  <c r="N989" i="1" s="1"/>
  <c r="K565" i="1"/>
  <c r="N565" i="1" s="1"/>
  <c r="K965" i="1"/>
  <c r="N965" i="1" s="1"/>
  <c r="K964" i="1"/>
  <c r="N964" i="1" s="1"/>
  <c r="K970" i="1"/>
  <c r="N970" i="1" s="1"/>
  <c r="K966" i="1"/>
  <c r="N966" i="1" s="1"/>
  <c r="K969" i="1"/>
  <c r="N969" i="1" s="1"/>
  <c r="K968" i="1"/>
  <c r="N968" i="1" s="1"/>
  <c r="K967" i="1"/>
  <c r="N967" i="1" s="1"/>
  <c r="K972" i="1"/>
  <c r="N972" i="1" s="1"/>
  <c r="K974" i="1"/>
  <c r="N974" i="1" s="1"/>
  <c r="K210" i="1"/>
  <c r="N210" i="1" s="1"/>
  <c r="K326" i="1"/>
  <c r="N326" i="1" s="1"/>
  <c r="K327" i="1"/>
  <c r="N327" i="1" s="1"/>
  <c r="K1136" i="1"/>
  <c r="N1136" i="1" s="1"/>
  <c r="K904" i="1"/>
  <c r="N904" i="1" s="1"/>
  <c r="H1095" i="1"/>
  <c r="K1094" i="1" l="1"/>
  <c r="N1094" i="1" s="1"/>
  <c r="K1095" i="1"/>
  <c r="N1095" i="1" s="1"/>
  <c r="K1143" i="1"/>
  <c r="N1143" i="1" s="1"/>
  <c r="K888" i="1"/>
  <c r="N888" i="1" s="1"/>
  <c r="K67" i="1"/>
  <c r="N67" i="1" s="1"/>
  <c r="K202" i="1"/>
  <c r="N202" i="1" s="1"/>
  <c r="K203" i="1"/>
  <c r="N203" i="1" s="1"/>
  <c r="K1029" i="1" l="1"/>
  <c r="N1029" i="1" s="1"/>
  <c r="K945" i="1"/>
  <c r="N945" i="1" s="1"/>
  <c r="K901" i="1"/>
  <c r="N901" i="1" s="1"/>
  <c r="K547" i="1"/>
  <c r="N547" i="1" s="1"/>
  <c r="K546" i="1"/>
  <c r="N546" i="1" s="1"/>
  <c r="K224" i="1"/>
  <c r="N224" i="1" s="1"/>
  <c r="K153" i="1"/>
  <c r="N153" i="1" s="1"/>
  <c r="K154" i="1"/>
  <c r="N154" i="1" s="1"/>
  <c r="K155" i="1"/>
  <c r="N155" i="1" s="1"/>
  <c r="K51" i="1"/>
  <c r="N51" i="1" s="1"/>
  <c r="K50" i="1"/>
  <c r="N50" i="1" s="1"/>
  <c r="K527" i="1"/>
  <c r="N527" i="1" s="1"/>
  <c r="I345" i="1"/>
  <c r="I781" i="1"/>
  <c r="I785" i="1"/>
  <c r="I94" i="1"/>
  <c r="I72" i="1"/>
  <c r="K616" i="1"/>
  <c r="I358" i="1"/>
  <c r="K764" i="1" l="1"/>
  <c r="K171" i="1"/>
  <c r="K1174" i="1" l="1"/>
  <c r="N1174" i="1" s="1"/>
  <c r="K265" i="1"/>
  <c r="N265" i="1" s="1"/>
  <c r="K108" i="1"/>
  <c r="K465" i="1"/>
  <c r="K458" i="1"/>
  <c r="K91" i="1"/>
  <c r="K533" i="1"/>
  <c r="K261" i="1"/>
  <c r="N261" i="1" s="1"/>
  <c r="K259" i="1"/>
  <c r="N259" i="1" s="1"/>
  <c r="K260" i="1"/>
  <c r="N260" i="1" s="1"/>
  <c r="K143" i="1"/>
  <c r="K158" i="1"/>
  <c r="K157" i="1"/>
  <c r="K156" i="1"/>
  <c r="K160" i="1"/>
  <c r="K159" i="1"/>
  <c r="K283" i="1"/>
  <c r="K804" i="1"/>
  <c r="K803" i="1"/>
  <c r="K1103" i="1"/>
  <c r="K1104" i="1"/>
  <c r="K1105" i="1"/>
  <c r="K1106" i="1"/>
  <c r="K574" i="1"/>
  <c r="K538" i="1"/>
  <c r="K999" i="1"/>
  <c r="K262" i="1"/>
  <c r="N262" i="1" s="1"/>
  <c r="K609" i="1"/>
  <c r="K906" i="1"/>
  <c r="K907" i="1"/>
  <c r="K1185" i="1"/>
  <c r="K1184" i="1"/>
  <c r="K1188" i="1"/>
  <c r="K1186" i="1"/>
  <c r="K1187" i="1"/>
  <c r="K509" i="1"/>
  <c r="K508" i="1"/>
  <c r="K507" i="1"/>
  <c r="K510" i="1"/>
  <c r="K231" i="1"/>
  <c r="I818" i="1"/>
  <c r="I998" i="1"/>
  <c r="I531" i="1"/>
  <c r="I92" i="1"/>
  <c r="I813" i="1"/>
  <c r="I855" i="1"/>
  <c r="I854" i="1"/>
  <c r="I836" i="1"/>
  <c r="I374" i="1"/>
  <c r="I377" i="1" l="1"/>
  <c r="I380" i="1"/>
  <c r="I389" i="1"/>
  <c r="I390" i="1"/>
  <c r="I400" i="1"/>
  <c r="I302" i="1" l="1"/>
  <c r="I814" i="1" l="1"/>
  <c r="I776" i="1"/>
  <c r="I889" i="1"/>
  <c r="I490" i="1"/>
  <c r="I799" i="1"/>
  <c r="I627" i="1"/>
  <c r="I44" i="1"/>
  <c r="I943" i="1"/>
  <c r="I887" i="1"/>
  <c r="I197" i="1"/>
  <c r="I698" i="1"/>
  <c r="I146" i="1"/>
  <c r="I583" i="1"/>
  <c r="I436" i="1" l="1"/>
  <c r="I421" i="1"/>
  <c r="I180" i="1"/>
  <c r="K1073" i="1"/>
  <c r="N1073" i="1" s="1"/>
  <c r="K1127" i="1"/>
  <c r="N1127" i="1" s="1"/>
  <c r="K662" i="1"/>
  <c r="N662" i="1" s="1"/>
  <c r="K535" i="1"/>
  <c r="N535" i="1" s="1"/>
  <c r="N227" i="1"/>
  <c r="H1074" i="1"/>
  <c r="I872" i="1" l="1"/>
  <c r="I1056" i="1"/>
  <c r="K512" i="1" l="1"/>
  <c r="N512" i="1" s="1"/>
  <c r="I179" i="1" l="1"/>
  <c r="L179" i="1"/>
  <c r="L387" i="1"/>
  <c r="K1177" i="1" l="1"/>
  <c r="N1177" i="1" s="1"/>
  <c r="K1120" i="1"/>
  <c r="N1120" i="1" s="1"/>
  <c r="K1125" i="1"/>
  <c r="N1125" i="1" s="1"/>
  <c r="K1123" i="1"/>
  <c r="N1123" i="1" s="1"/>
  <c r="K1051" i="1"/>
  <c r="N1051" i="1" s="1"/>
  <c r="K1052" i="1"/>
  <c r="N1052" i="1" s="1"/>
  <c r="K1050" i="1"/>
  <c r="N1050" i="1" s="1"/>
  <c r="K991" i="1"/>
  <c r="N991" i="1" s="1"/>
  <c r="H809" i="1"/>
  <c r="K385" i="1"/>
  <c r="N385" i="1" s="1"/>
  <c r="K281" i="1"/>
  <c r="N281" i="1" s="1"/>
  <c r="K242" i="1"/>
  <c r="N242" i="1" s="1"/>
  <c r="K1074" i="1"/>
  <c r="N1074" i="1" s="1"/>
  <c r="K722" i="1" l="1"/>
  <c r="N722" i="1" s="1"/>
  <c r="K342" i="1"/>
  <c r="N342" i="1" s="1"/>
  <c r="K343" i="1"/>
  <c r="N343" i="1" s="1"/>
  <c r="K1059" i="1"/>
  <c r="N1059" i="1" s="1"/>
  <c r="K915" i="1"/>
  <c r="N915" i="1" s="1"/>
  <c r="K913" i="1"/>
  <c r="N913" i="1" s="1"/>
  <c r="K914" i="1"/>
  <c r="N914" i="1" s="1"/>
  <c r="I709" i="1"/>
  <c r="I529" i="1"/>
  <c r="I528" i="1"/>
  <c r="I487" i="1"/>
  <c r="I631" i="1"/>
  <c r="J517" i="1"/>
  <c r="I959" i="1"/>
  <c r="I704" i="1"/>
  <c r="I111" i="1"/>
  <c r="K71" i="1" l="1"/>
  <c r="N71" i="1" s="1"/>
  <c r="I73" i="1"/>
  <c r="K714" i="1"/>
  <c r="N714" i="1" s="1"/>
  <c r="K1048" i="1" l="1"/>
  <c r="N1048" i="1" s="1"/>
  <c r="K946" i="1"/>
  <c r="N946" i="1" s="1"/>
  <c r="K1047" i="1"/>
  <c r="N1047" i="1" s="1"/>
  <c r="K1171" i="1"/>
  <c r="N1171" i="1" s="1"/>
  <c r="K383" i="1"/>
  <c r="M383" i="1"/>
  <c r="M1191" i="1" s="1"/>
  <c r="K682" i="1"/>
  <c r="N682" i="1" s="1"/>
  <c r="K1170" i="1"/>
  <c r="N1170" i="1" s="1"/>
  <c r="K593" i="1"/>
  <c r="N593" i="1" s="1"/>
  <c r="K594" i="1"/>
  <c r="N594" i="1" s="1"/>
  <c r="K592" i="1"/>
  <c r="N592" i="1" s="1"/>
  <c r="K1069" i="1"/>
  <c r="N1069" i="1" s="1"/>
  <c r="K713" i="1"/>
  <c r="N713" i="1" s="1"/>
  <c r="K521" i="1"/>
  <c r="N521" i="1" s="1"/>
  <c r="K506" i="1"/>
  <c r="N506" i="1" s="1"/>
  <c r="K307" i="1"/>
  <c r="N307" i="1" s="1"/>
  <c r="K306" i="1"/>
  <c r="N306" i="1" s="1"/>
  <c r="K642" i="1"/>
  <c r="K1150" i="1"/>
  <c r="N1150" i="1" s="1"/>
  <c r="K1153" i="1"/>
  <c r="N1153" i="1" s="1"/>
  <c r="K1152" i="1"/>
  <c r="N1152" i="1" s="1"/>
  <c r="K1151" i="1"/>
  <c r="N1151" i="1" s="1"/>
  <c r="K1146" i="1"/>
  <c r="N1146" i="1" s="1"/>
  <c r="K1148" i="1"/>
  <c r="N1148" i="1" s="1"/>
  <c r="K1147" i="1"/>
  <c r="N1147" i="1" s="1"/>
  <c r="K1020" i="1"/>
  <c r="N1020" i="1" s="1"/>
  <c r="K1015" i="1"/>
  <c r="N1015" i="1" s="1"/>
  <c r="K735" i="1"/>
  <c r="N735" i="1" s="1"/>
  <c r="K734" i="1"/>
  <c r="N734" i="1" s="1"/>
  <c r="K718" i="1"/>
  <c r="N718" i="1" s="1"/>
  <c r="K717" i="1"/>
  <c r="N717" i="1" s="1"/>
  <c r="K716" i="1"/>
  <c r="N716" i="1" s="1"/>
  <c r="K691" i="1"/>
  <c r="N691" i="1" s="1"/>
  <c r="K692" i="1"/>
  <c r="N692" i="1" s="1"/>
  <c r="K644" i="1"/>
  <c r="N644" i="1" s="1"/>
  <c r="K637" i="1"/>
  <c r="N637" i="1" s="1"/>
  <c r="K635" i="1"/>
  <c r="N635" i="1" s="1"/>
  <c r="K638" i="1"/>
  <c r="N638" i="1" s="1"/>
  <c r="K639" i="1"/>
  <c r="N639" i="1" s="1"/>
  <c r="K576" i="1"/>
  <c r="N576" i="1" s="1"/>
  <c r="K305" i="1"/>
  <c r="N305" i="1" s="1"/>
  <c r="K315" i="1"/>
  <c r="N315" i="1" s="1"/>
  <c r="K312" i="1"/>
  <c r="N312" i="1" s="1"/>
  <c r="K137" i="1"/>
  <c r="N137" i="1" s="1"/>
  <c r="K30" i="1"/>
  <c r="N30" i="1" s="1"/>
  <c r="N613" i="1"/>
  <c r="N616" i="1"/>
  <c r="K419" i="1"/>
  <c r="N419" i="1" s="1"/>
  <c r="K420" i="1"/>
  <c r="N420" i="1" s="1"/>
  <c r="K188" i="1"/>
  <c r="N188" i="1" s="1"/>
  <c r="K729" i="1"/>
  <c r="N729" i="1" s="1"/>
  <c r="K864" i="1"/>
  <c r="N864" i="1" s="1"/>
  <c r="K849" i="1"/>
  <c r="N849" i="1" s="1"/>
  <c r="K450" i="1"/>
  <c r="N450" i="1" s="1"/>
  <c r="K418" i="1"/>
  <c r="N418" i="1" s="1"/>
  <c r="K867" i="1"/>
  <c r="N867" i="1" s="1"/>
  <c r="K42" i="1"/>
  <c r="N42" i="1" s="1"/>
  <c r="K321" i="1"/>
  <c r="N321" i="1" s="1"/>
  <c r="K417" i="1"/>
  <c r="N417" i="1" s="1"/>
  <c r="K615" i="1"/>
  <c r="N615" i="1" s="1"/>
  <c r="N383" i="1" l="1"/>
  <c r="K387" i="1"/>
  <c r="N387" i="1" s="1"/>
  <c r="K614" i="1"/>
  <c r="N614" i="1" s="1"/>
  <c r="K612" i="1"/>
  <c r="N612" i="1" s="1"/>
  <c r="K611" i="1"/>
  <c r="N611" i="1" s="1"/>
  <c r="K438" i="1"/>
  <c r="N438" i="1" s="1"/>
  <c r="K191" i="1"/>
  <c r="N191" i="1" s="1"/>
  <c r="K439" i="1"/>
  <c r="N439" i="1" s="1"/>
  <c r="K1175" i="1"/>
  <c r="N1175" i="1" s="1"/>
  <c r="K1173" i="1"/>
  <c r="N1173" i="1" s="1"/>
  <c r="K1176" i="1"/>
  <c r="N1176" i="1" s="1"/>
  <c r="K319" i="1"/>
  <c r="N319" i="1" s="1"/>
  <c r="K317" i="1"/>
  <c r="N317" i="1" s="1"/>
  <c r="K144" i="1"/>
  <c r="N144" i="1" s="1"/>
  <c r="K90" i="1"/>
  <c r="N90" i="1" s="1"/>
  <c r="I956" i="1" l="1"/>
  <c r="I852" i="1"/>
  <c r="I424" i="1"/>
  <c r="I478" i="1"/>
  <c r="I634" i="1"/>
  <c r="I34" i="1"/>
  <c r="I32" i="1"/>
  <c r="I610" i="1"/>
  <c r="I483" i="1"/>
  <c r="I479" i="1"/>
  <c r="I493" i="1"/>
  <c r="I986" i="1"/>
  <c r="I985" i="1"/>
  <c r="I411" i="1"/>
  <c r="I997" i="1"/>
  <c r="I930" i="1"/>
  <c r="I1065" i="1"/>
  <c r="I1062" i="1"/>
  <c r="I1061" i="1"/>
  <c r="I368" i="1"/>
  <c r="I873" i="1"/>
  <c r="I504" i="1"/>
  <c r="I1096" i="1"/>
  <c r="I362" i="1"/>
  <c r="I676" i="1"/>
  <c r="I519" i="1"/>
  <c r="I485" i="1"/>
  <c r="I170" i="1"/>
  <c r="I677" i="1" l="1"/>
  <c r="I488" i="1"/>
  <c r="I350" i="1"/>
  <c r="I1057" i="1"/>
  <c r="I640" i="1"/>
  <c r="K790" i="1" l="1"/>
  <c r="N790" i="1" s="1"/>
  <c r="K117" i="1" l="1"/>
  <c r="K107" i="1"/>
  <c r="K106" i="1"/>
  <c r="K66" i="1"/>
  <c r="N66" i="1" s="1"/>
  <c r="K65" i="1"/>
  <c r="N65" i="1" s="1"/>
  <c r="K64" i="1"/>
  <c r="N64" i="1" s="1"/>
  <c r="K63" i="1"/>
  <c r="N63" i="1" s="1"/>
  <c r="K62" i="1"/>
  <c r="N62" i="1" s="1"/>
  <c r="K61" i="1"/>
  <c r="N61" i="1" s="1"/>
  <c r="K60" i="1"/>
  <c r="N60" i="1" s="1"/>
  <c r="K41" i="1"/>
  <c r="K1189" i="1"/>
  <c r="N1189" i="1" s="1"/>
  <c r="K1182" i="1"/>
  <c r="K1178" i="1"/>
  <c r="K1009" i="1"/>
  <c r="K1008" i="1"/>
  <c r="K1007" i="1"/>
  <c r="K1006" i="1"/>
  <c r="K1005" i="1"/>
  <c r="N1005" i="1" s="1"/>
  <c r="K996" i="1"/>
  <c r="K995" i="1"/>
  <c r="K994" i="1"/>
  <c r="K941" i="1"/>
  <c r="K895" i="1"/>
  <c r="K869" i="1"/>
  <c r="K866" i="1"/>
  <c r="K816" i="1"/>
  <c r="K805" i="1"/>
  <c r="K795" i="1"/>
  <c r="K707" i="1"/>
  <c r="K680" i="1"/>
  <c r="K679" i="1"/>
  <c r="K577" i="1"/>
  <c r="K559" i="1"/>
  <c r="K558" i="1"/>
  <c r="K557" i="1"/>
  <c r="K556" i="1"/>
  <c r="K555" i="1"/>
  <c r="K554" i="1"/>
  <c r="K551" i="1"/>
  <c r="K549" i="1"/>
  <c r="K534" i="1"/>
  <c r="K532" i="1"/>
  <c r="K501" i="1"/>
  <c r="K497" i="1"/>
  <c r="K496" i="1"/>
  <c r="K495" i="1"/>
  <c r="K494" i="1"/>
  <c r="K486" i="1"/>
  <c r="K476" i="1"/>
  <c r="K72" i="1"/>
  <c r="K382" i="1"/>
  <c r="K381" i="1"/>
  <c r="K371" i="1"/>
  <c r="K345" i="1"/>
  <c r="K303" i="1"/>
  <c r="K280" i="1"/>
  <c r="K240" i="1"/>
  <c r="K238" i="1"/>
  <c r="K130" i="1"/>
  <c r="K83" i="1"/>
  <c r="K82" i="1"/>
  <c r="K40" i="1"/>
  <c r="N40" i="1"/>
  <c r="N877" i="1"/>
  <c r="N476" i="1"/>
  <c r="N72" i="1"/>
  <c r="N795" i="1"/>
  <c r="N1178" i="1"/>
  <c r="N1009" i="1"/>
  <c r="N1008" i="1"/>
  <c r="N1007" i="1"/>
  <c r="N1006" i="1"/>
  <c r="N995" i="1"/>
  <c r="N994" i="1"/>
  <c r="N895" i="1"/>
  <c r="N885" i="1"/>
  <c r="N869" i="1"/>
  <c r="N866" i="1"/>
  <c r="N816" i="1"/>
  <c r="N707" i="1"/>
  <c r="N680" i="1"/>
  <c r="N679" i="1"/>
  <c r="N577" i="1"/>
  <c r="N558" i="1"/>
  <c r="N557" i="1"/>
  <c r="N556" i="1"/>
  <c r="N555" i="1"/>
  <c r="N554" i="1"/>
  <c r="N551" i="1"/>
  <c r="N549" i="1"/>
  <c r="N548" i="1"/>
  <c r="N532" i="1"/>
  <c r="N501" i="1"/>
  <c r="N497" i="1"/>
  <c r="N496" i="1"/>
  <c r="N495" i="1"/>
  <c r="N494" i="1"/>
  <c r="N486" i="1"/>
  <c r="N484" i="1"/>
  <c r="N371" i="1"/>
  <c r="N365" i="1"/>
  <c r="N345" i="1"/>
  <c r="N303" i="1"/>
  <c r="N280" i="1"/>
  <c r="N238" i="1"/>
  <c r="N237" i="1"/>
  <c r="N130" i="1"/>
  <c r="N117" i="1"/>
  <c r="N107" i="1"/>
  <c r="N106" i="1"/>
  <c r="N74" i="1"/>
  <c r="N73" i="1"/>
  <c r="N41" i="1"/>
  <c r="J877" i="1"/>
  <c r="K877" i="1" s="1"/>
  <c r="J1140" i="1"/>
  <c r="K1140" i="1" s="1"/>
  <c r="J1139" i="1"/>
  <c r="K1139" i="1" s="1"/>
  <c r="J975" i="1"/>
  <c r="K975" i="1" s="1"/>
  <c r="I885" i="1"/>
  <c r="K885" i="1" s="1"/>
  <c r="J806" i="1"/>
  <c r="K806" i="1" s="1"/>
  <c r="J548" i="1"/>
  <c r="K548" i="1" s="1"/>
  <c r="H484" i="1"/>
  <c r="K484" i="1" s="1"/>
  <c r="I365" i="1"/>
  <c r="K365" i="1" s="1"/>
  <c r="J237" i="1"/>
  <c r="K237" i="1" s="1"/>
  <c r="I74" i="1"/>
  <c r="K74" i="1" s="1"/>
  <c r="K73" i="1"/>
  <c r="I70" i="1"/>
  <c r="K70" i="1" s="1"/>
  <c r="N70" i="1" s="1"/>
  <c r="K1172" i="1"/>
  <c r="N1172" i="1" s="1"/>
  <c r="K1142" i="1"/>
  <c r="N1142" i="1" s="1"/>
  <c r="K570" i="1"/>
  <c r="N570" i="1" s="1"/>
  <c r="K325" i="1"/>
  <c r="N325" i="1" s="1"/>
  <c r="K539" i="1"/>
  <c r="N539" i="1" s="1"/>
  <c r="K423" i="1"/>
  <c r="N423" i="1" s="1"/>
  <c r="K833" i="1"/>
  <c r="N833" i="1" s="1"/>
  <c r="K189" i="1"/>
  <c r="N189" i="1" s="1"/>
  <c r="K187" i="1"/>
  <c r="N187" i="1" s="1"/>
  <c r="K886" i="1"/>
  <c r="N886" i="1" s="1"/>
  <c r="K721" i="1"/>
  <c r="N721" i="1" s="1"/>
  <c r="K711" i="1"/>
  <c r="N711" i="1" s="1"/>
  <c r="K384" i="1"/>
  <c r="N384" i="1" s="1"/>
  <c r="K961" i="1"/>
  <c r="N961" i="1" s="1"/>
  <c r="K831" i="1"/>
  <c r="N831" i="1" s="1"/>
  <c r="K830" i="1"/>
  <c r="N830" i="1" s="1"/>
  <c r="K192" i="1"/>
  <c r="N192" i="1" s="1"/>
  <c r="K834" i="1"/>
  <c r="N834" i="1" s="1"/>
  <c r="K847" i="1"/>
  <c r="N847" i="1" s="1"/>
  <c r="H360" i="1"/>
  <c r="I1039" i="1"/>
  <c r="I287" i="1"/>
  <c r="I878" i="1"/>
  <c r="I789" i="1"/>
  <c r="K654" i="1" l="1"/>
  <c r="N654" i="1" s="1"/>
  <c r="K602" i="1"/>
  <c r="N602" i="1" s="1"/>
  <c r="K653" i="1"/>
  <c r="N653" i="1" s="1"/>
  <c r="K652" i="1"/>
  <c r="N652" i="1" s="1"/>
  <c r="K634" i="1"/>
  <c r="N634" i="1" s="1"/>
  <c r="K264" i="1"/>
  <c r="N264" i="1" s="1"/>
  <c r="K328" i="1"/>
  <c r="N328" i="1" s="1"/>
  <c r="K329" i="1"/>
  <c r="N329" i="1" s="1"/>
  <c r="I950" i="1"/>
  <c r="I113" i="1"/>
  <c r="I112" i="1"/>
  <c r="I931" i="1"/>
  <c r="I939" i="1"/>
  <c r="I940" i="1"/>
  <c r="I314" i="1" l="1"/>
  <c r="I1053" i="1"/>
  <c r="I756" i="1"/>
  <c r="I410" i="1"/>
  <c r="I1003" i="1"/>
  <c r="I537" i="1"/>
  <c r="K193" i="1"/>
  <c r="N193" i="1" s="1"/>
  <c r="K936" i="1"/>
  <c r="N936" i="1" s="1"/>
  <c r="K825" i="1"/>
  <c r="N825" i="1" s="1"/>
  <c r="K827" i="1"/>
  <c r="N827" i="1" s="1"/>
  <c r="K823" i="1"/>
  <c r="N823" i="1" s="1"/>
  <c r="K1137" i="1"/>
  <c r="N1137" i="1" s="1"/>
  <c r="I275" i="1"/>
  <c r="K152" i="1"/>
  <c r="N152" i="1" s="1"/>
  <c r="K498" i="1"/>
  <c r="N498" i="1" s="1"/>
  <c r="K775" i="1"/>
  <c r="N775" i="1" s="1"/>
  <c r="K774" i="1"/>
  <c r="N774" i="1" s="1"/>
  <c r="K220" i="1"/>
  <c r="N220" i="1" s="1"/>
  <c r="K773" i="1"/>
  <c r="N773" i="1" s="1"/>
  <c r="K221" i="1"/>
  <c r="P221" i="1" s="1"/>
  <c r="K304" i="1"/>
  <c r="P304" i="1" s="1"/>
  <c r="K1010" i="1"/>
  <c r="P1010" i="1" s="1"/>
  <c r="N1010" i="1" l="1"/>
  <c r="N304" i="1"/>
  <c r="N221" i="1"/>
  <c r="I552" i="1"/>
  <c r="I251" i="1"/>
  <c r="I1043" i="1" l="1"/>
  <c r="I648" i="1"/>
  <c r="I23" i="1"/>
  <c r="I957" i="1"/>
  <c r="I905" i="1"/>
  <c r="I1038" i="1"/>
  <c r="I696" i="1"/>
  <c r="I702" i="1"/>
  <c r="I1040" i="1"/>
  <c r="I526" i="1"/>
  <c r="I542" i="1"/>
  <c r="I177" i="1"/>
  <c r="I705" i="1"/>
  <c r="K588" i="1"/>
  <c r="N588" i="1" s="1"/>
  <c r="K589" i="1"/>
  <c r="N589" i="1" s="1"/>
  <c r="K587" i="1"/>
  <c r="N587" i="1" s="1"/>
  <c r="I903" i="1" l="1"/>
  <c r="I924" i="1"/>
  <c r="I503" i="1"/>
  <c r="I921" i="1"/>
  <c r="I918" i="1"/>
  <c r="I948" i="1"/>
  <c r="I481" i="1"/>
  <c r="I934" i="1"/>
  <c r="I1027" i="1"/>
  <c r="I815" i="1" l="1"/>
  <c r="I39" i="1"/>
  <c r="I601" i="1"/>
  <c r="I176" i="1"/>
  <c r="I817" i="1"/>
  <c r="I689" i="1"/>
  <c r="I1064" i="1"/>
  <c r="I173" i="1"/>
  <c r="I361" i="1"/>
  <c r="I675" i="1" l="1"/>
  <c r="K675" i="1" s="1"/>
  <c r="N675" i="1" s="1"/>
  <c r="I641" i="1" l="1"/>
  <c r="I29" i="1"/>
  <c r="I1179" i="1" l="1"/>
  <c r="I697" i="1" l="1"/>
  <c r="K276" i="1"/>
  <c r="N276" i="1" s="1"/>
  <c r="K862" i="1"/>
  <c r="N862" i="1" s="1"/>
  <c r="K85" i="1" l="1"/>
  <c r="N85" i="1" s="1"/>
  <c r="K440" i="1"/>
  <c r="N440" i="1" s="1"/>
  <c r="H1055" i="1"/>
  <c r="K878" i="1"/>
  <c r="N878" i="1" s="1"/>
  <c r="K12" i="1"/>
  <c r="N12" i="1" s="1"/>
  <c r="K537" i="1"/>
  <c r="N537" i="1" s="1"/>
  <c r="K92" i="1"/>
  <c r="N92" i="1" s="1"/>
  <c r="K789" i="1"/>
  <c r="N789" i="1" s="1"/>
  <c r="K957" i="1"/>
  <c r="N957" i="1" s="1"/>
  <c r="K998" i="1"/>
  <c r="N998" i="1" s="1"/>
  <c r="K531" i="1"/>
  <c r="N531" i="1" s="1"/>
  <c r="H1056" i="1"/>
  <c r="H200" i="1" l="1"/>
  <c r="I145" i="1"/>
  <c r="I701" i="1"/>
  <c r="I127" i="1"/>
  <c r="I407" i="1"/>
  <c r="I149" i="1" l="1"/>
  <c r="I80" i="1" l="1"/>
  <c r="I492" i="1"/>
  <c r="I863" i="1"/>
  <c r="I822" i="1"/>
  <c r="I196" i="1"/>
  <c r="I449" i="1"/>
  <c r="I1161" i="1"/>
  <c r="I899" i="1"/>
  <c r="I228" i="1" l="1"/>
  <c r="K228" i="1" s="1"/>
  <c r="I1017" i="1" l="1"/>
  <c r="I254" i="1" l="1"/>
  <c r="I673" i="1"/>
  <c r="I516" i="1"/>
  <c r="I514" i="1"/>
  <c r="I841" i="1"/>
  <c r="I597" i="1"/>
  <c r="I38" i="1"/>
  <c r="I926" i="1" l="1"/>
  <c r="I525" i="1"/>
  <c r="H627" i="1" l="1"/>
  <c r="I754" i="1" l="1"/>
  <c r="K754" i="1" s="1"/>
  <c r="K600" i="1"/>
  <c r="I626" i="1"/>
  <c r="I181" i="1"/>
  <c r="K514" i="1"/>
  <c r="N514" i="1" s="1"/>
  <c r="H490" i="1" l="1"/>
  <c r="H489" i="1"/>
  <c r="I596" i="1" l="1"/>
  <c r="I1049" i="1"/>
  <c r="K389" i="1" l="1"/>
  <c r="I1016" i="1"/>
  <c r="I778" i="1" l="1"/>
  <c r="K378" i="1"/>
  <c r="N378" i="1" s="1"/>
  <c r="K1164" i="1" l="1"/>
  <c r="K311" i="1" l="1"/>
  <c r="N311" i="1" s="1"/>
  <c r="K309" i="1"/>
  <c r="N309" i="1" s="1"/>
  <c r="K310" i="1"/>
  <c r="N310" i="1" s="1"/>
  <c r="K645" i="1" l="1"/>
  <c r="I279" i="1" l="1"/>
  <c r="I699" i="1" l="1"/>
  <c r="I125" i="1"/>
  <c r="K598" i="1"/>
  <c r="I268" i="1"/>
  <c r="I604" i="1"/>
  <c r="I780" i="1"/>
  <c r="I569" i="1" l="1"/>
  <c r="I568" i="1"/>
  <c r="I1145" i="1" l="1"/>
  <c r="I185" i="1" l="1"/>
  <c r="I359" i="1"/>
  <c r="I1087" i="1" l="1"/>
  <c r="I1070" i="1"/>
  <c r="K459" i="1" l="1"/>
  <c r="N459" i="1" s="1"/>
  <c r="K17" i="1"/>
  <c r="N17" i="1" s="1"/>
  <c r="K39" i="1"/>
  <c r="N39" i="1" s="1"/>
  <c r="K14" i="1"/>
  <c r="N14" i="1" s="1"/>
  <c r="K464" i="1" l="1"/>
  <c r="N464" i="1" s="1"/>
  <c r="K11" i="1"/>
  <c r="N11" i="1" s="1"/>
  <c r="K35" i="1"/>
  <c r="N35" i="1" s="1"/>
  <c r="K31" i="1"/>
  <c r="N31" i="1" s="1"/>
  <c r="I674" i="1"/>
  <c r="K15" i="1"/>
  <c r="N15" i="1" s="1"/>
  <c r="K348" i="1"/>
  <c r="N348" i="1" s="1"/>
  <c r="K16" i="1"/>
  <c r="N16" i="1" s="1"/>
  <c r="I809" i="1"/>
  <c r="I1090" i="1"/>
  <c r="I230" i="1"/>
  <c r="K33" i="1"/>
  <c r="N33" i="1" s="1"/>
  <c r="I1183" i="1"/>
  <c r="K1183" i="1" s="1"/>
  <c r="I650" i="1"/>
  <c r="I308" i="1"/>
  <c r="K308" i="1" s="1"/>
  <c r="I651" i="1"/>
  <c r="K468" i="1" l="1"/>
  <c r="N468" i="1" s="1"/>
  <c r="I518" i="1" l="1"/>
  <c r="I1079" i="1"/>
  <c r="I515" i="1"/>
  <c r="I513" i="1"/>
  <c r="K483" i="1"/>
  <c r="K706" i="1"/>
  <c r="N706" i="1" s="1"/>
  <c r="I723" i="1" l="1"/>
  <c r="K873" i="1"/>
  <c r="N873" i="1" s="1"/>
  <c r="K872" i="1"/>
  <c r="N872" i="1" s="1"/>
  <c r="I745" i="1"/>
  <c r="I703" i="1"/>
  <c r="I923" i="1"/>
  <c r="K698" i="1"/>
  <c r="N698" i="1" s="1"/>
  <c r="K75" i="1"/>
  <c r="N75" i="1" s="1"/>
  <c r="I736" i="1" l="1"/>
  <c r="I746" i="1"/>
  <c r="I743" i="1"/>
  <c r="I530" i="1"/>
  <c r="I233" i="1"/>
  <c r="H488" i="1" l="1"/>
  <c r="H487" i="1" l="1"/>
  <c r="H785" i="1"/>
  <c r="I1004" i="1"/>
  <c r="I1158" i="1"/>
  <c r="I360" i="1"/>
  <c r="I590" i="1" l="1"/>
  <c r="I209" i="1" l="1"/>
  <c r="I1037" i="1"/>
  <c r="I695" i="1" l="1"/>
  <c r="I608" i="1" l="1"/>
  <c r="H781" i="1" l="1"/>
  <c r="G487" i="1" l="1"/>
  <c r="I1078" i="1" l="1"/>
  <c r="I919" i="1"/>
  <c r="I356" i="1"/>
  <c r="I126" i="1"/>
  <c r="K673" i="1" l="1"/>
  <c r="I355" i="1"/>
  <c r="K672" i="1"/>
  <c r="K377" i="1" l="1"/>
  <c r="N377" i="1" s="1"/>
  <c r="K151" i="1" l="1"/>
  <c r="N151" i="1" s="1"/>
  <c r="K150" i="1"/>
  <c r="N150" i="1" s="1"/>
  <c r="K149" i="1"/>
  <c r="N149" i="1" s="1"/>
  <c r="K148" i="1"/>
  <c r="N148" i="1" s="1"/>
  <c r="K147" i="1"/>
  <c r="N147" i="1" s="1"/>
  <c r="K748" i="1" l="1"/>
  <c r="N748" i="1" s="1"/>
  <c r="H400" i="1"/>
  <c r="I408" i="1" l="1"/>
  <c r="I1001" i="1"/>
  <c r="N754" i="1"/>
  <c r="I812" i="1" l="1"/>
  <c r="K601" i="1"/>
  <c r="I1093" i="1"/>
  <c r="I1035" i="1"/>
  <c r="I944" i="1"/>
  <c r="K487" i="1"/>
  <c r="N487" i="1" s="1"/>
  <c r="K940" i="1"/>
  <c r="N940" i="1" s="1"/>
  <c r="K627" i="1" l="1"/>
  <c r="N627" i="1" s="1"/>
  <c r="K380" i="1"/>
  <c r="N380" i="1" s="1"/>
  <c r="K80" i="1" l="1"/>
  <c r="N80" i="1" s="1"/>
  <c r="K815" i="1"/>
  <c r="N815" i="1" s="1"/>
  <c r="K298" i="1"/>
  <c r="N298" i="1" s="1"/>
  <c r="K749" i="1" l="1"/>
  <c r="N749" i="1" s="1"/>
  <c r="K683" i="1"/>
  <c r="N683" i="1" s="1"/>
  <c r="K1149" i="1"/>
  <c r="N1149" i="1" s="1"/>
  <c r="K413" i="1"/>
  <c r="N413" i="1" s="1"/>
  <c r="K659" i="1"/>
  <c r="N659" i="1" s="1"/>
  <c r="K927" i="1"/>
  <c r="N927" i="1" s="1"/>
  <c r="K958" i="1"/>
  <c r="N958" i="1" s="1"/>
  <c r="K386" i="1"/>
  <c r="N386" i="1" s="1"/>
  <c r="K76" i="1"/>
  <c r="N76" i="1" s="1"/>
  <c r="K184" i="1"/>
  <c r="N184" i="1" s="1"/>
  <c r="K451" i="1"/>
  <c r="N451" i="1" s="1"/>
  <c r="K874" i="1" l="1"/>
  <c r="N874" i="1" s="1"/>
  <c r="K875" i="1"/>
  <c r="N875" i="1" s="1"/>
  <c r="K1181" i="1"/>
  <c r="N1181" i="1" s="1"/>
  <c r="K1180" i="1"/>
  <c r="N1180" i="1" s="1"/>
  <c r="K1179" i="1"/>
  <c r="N1179" i="1" s="1"/>
  <c r="K942" i="1"/>
  <c r="N942" i="1" s="1"/>
  <c r="K776" i="1"/>
  <c r="N776" i="1" s="1"/>
  <c r="K889" i="1" l="1"/>
  <c r="N889" i="1" s="1"/>
  <c r="K779" i="1"/>
  <c r="N779" i="1" s="1"/>
  <c r="K263" i="1"/>
  <c r="N263" i="1" s="1"/>
  <c r="K765" i="1"/>
  <c r="N765" i="1" s="1"/>
  <c r="K222" i="1"/>
  <c r="N222" i="1" s="1"/>
  <c r="K215" i="1"/>
  <c r="N215" i="1" s="1"/>
  <c r="K214" i="1"/>
  <c r="N214" i="1" s="1"/>
  <c r="K772" i="1"/>
  <c r="N772" i="1" s="1"/>
  <c r="K771" i="1"/>
  <c r="N771" i="1" s="1"/>
  <c r="K213" i="1"/>
  <c r="N213" i="1" s="1"/>
  <c r="K219" i="1"/>
  <c r="N219" i="1" s="1"/>
  <c r="K217" i="1"/>
  <c r="N217" i="1" s="1"/>
  <c r="K218" i="1"/>
  <c r="N218" i="1" s="1"/>
  <c r="K223" i="1"/>
  <c r="N223" i="1" s="1"/>
  <c r="K257" i="1"/>
  <c r="N257" i="1" s="1"/>
  <c r="K270" i="1"/>
  <c r="N270" i="1" s="1"/>
  <c r="K274" i="1"/>
  <c r="N274" i="1" s="1"/>
  <c r="K216" i="1"/>
  <c r="N216" i="1" s="1"/>
  <c r="K678" i="1"/>
  <c r="N678" i="1" s="1"/>
  <c r="K511" i="1"/>
  <c r="N511" i="1" s="1"/>
  <c r="K57" i="1"/>
  <c r="N57" i="1" s="1"/>
  <c r="K1096" i="1"/>
  <c r="N1096" i="1" s="1"/>
  <c r="K372" i="1"/>
  <c r="N372" i="1" s="1"/>
  <c r="K246" i="1"/>
  <c r="N246" i="1" s="1"/>
  <c r="K660" i="1"/>
  <c r="N660" i="1" s="1"/>
  <c r="K272" i="1"/>
  <c r="N272" i="1" s="1"/>
  <c r="K273" i="1"/>
  <c r="N273" i="1" s="1"/>
  <c r="K271" i="1"/>
  <c r="N271" i="1" s="1"/>
  <c r="K625" i="1"/>
  <c r="N625" i="1" s="1"/>
  <c r="K1086" i="1"/>
  <c r="N1086" i="1" s="1"/>
  <c r="K809" i="1"/>
  <c r="N809" i="1" s="1"/>
  <c r="K810" i="1"/>
  <c r="N810" i="1" s="1"/>
  <c r="K258" i="1"/>
  <c r="N258" i="1" s="1"/>
  <c r="K369" i="1"/>
  <c r="N369" i="1" s="1"/>
  <c r="K436" i="1"/>
  <c r="N436" i="1" s="1"/>
  <c r="K205" i="1"/>
  <c r="N205" i="1" s="1"/>
  <c r="K208" i="1"/>
  <c r="N208" i="1" s="1"/>
  <c r="K235" i="1"/>
  <c r="N235" i="1" s="1"/>
  <c r="K677" i="1"/>
  <c r="N677" i="1" s="1"/>
  <c r="K596" i="1"/>
  <c r="P596" i="1" l="1"/>
  <c r="N596" i="1"/>
  <c r="I1076" i="1"/>
  <c r="I422" i="1" l="1"/>
  <c r="I732" i="1"/>
  <c r="K697" i="1"/>
  <c r="N697" i="1" s="1"/>
  <c r="K361" i="1"/>
  <c r="N361" i="1" s="1"/>
  <c r="K362" i="1"/>
  <c r="N362" i="1" s="1"/>
  <c r="K492" i="1"/>
  <c r="N492" i="1" s="1"/>
  <c r="K359" i="1"/>
  <c r="N359" i="1" s="1"/>
  <c r="K360" i="1"/>
  <c r="N360" i="1" s="1"/>
  <c r="K603" i="1"/>
  <c r="N603" i="1" s="1"/>
  <c r="K36" i="1"/>
  <c r="N36" i="1" s="1"/>
  <c r="K121" i="1"/>
  <c r="N121" i="1" s="1"/>
  <c r="K122" i="1"/>
  <c r="N122" i="1" s="1"/>
  <c r="K120" i="1"/>
  <c r="N120" i="1" s="1"/>
  <c r="K477" i="1"/>
  <c r="N477" i="1" s="1"/>
  <c r="K88" i="1"/>
  <c r="N88" i="1" s="1"/>
  <c r="K447" i="1"/>
  <c r="N447" i="1" s="1"/>
  <c r="K1058" i="1"/>
  <c r="N1058" i="1" s="1"/>
  <c r="K671" i="1"/>
  <c r="N671" i="1" s="1"/>
  <c r="K661" i="1" l="1"/>
  <c r="N661" i="1" s="1"/>
  <c r="K190" i="1" l="1"/>
  <c r="N190" i="1" s="1"/>
  <c r="I425" i="1" l="1"/>
  <c r="I752" i="1"/>
  <c r="K356" i="1" l="1"/>
  <c r="P356" i="1" s="1"/>
  <c r="K1133" i="1"/>
  <c r="K1135" i="1"/>
  <c r="K1134" i="1"/>
  <c r="K1131" i="1"/>
  <c r="K1132" i="1"/>
  <c r="K770" i="1"/>
  <c r="P770" i="1" s="1"/>
  <c r="K766" i="1"/>
  <c r="P766" i="1" s="1"/>
  <c r="K767" i="1"/>
  <c r="P767" i="1" s="1"/>
  <c r="K768" i="1"/>
  <c r="P768" i="1" s="1"/>
  <c r="K769" i="1"/>
  <c r="P769" i="1" s="1"/>
  <c r="K358" i="1"/>
  <c r="P358" i="1" s="1"/>
  <c r="K715" i="1"/>
  <c r="P1132" i="1" l="1"/>
  <c r="N1132" i="1"/>
  <c r="P1131" i="1"/>
  <c r="N1131" i="1"/>
  <c r="P1133" i="1"/>
  <c r="N1133" i="1"/>
  <c r="P1134" i="1"/>
  <c r="N1134" i="1"/>
  <c r="P1135" i="1"/>
  <c r="N1135" i="1"/>
  <c r="K230" i="1"/>
  <c r="K836" i="1"/>
  <c r="K822" i="1"/>
  <c r="K855" i="1"/>
  <c r="K829" i="1"/>
  <c r="K623" i="1"/>
  <c r="K624" i="1"/>
  <c r="N715" i="1"/>
  <c r="K545" i="1"/>
  <c r="N545" i="1" s="1"/>
  <c r="I666" i="1"/>
  <c r="K404" i="1"/>
  <c r="N404" i="1" s="1"/>
  <c r="K1083" i="1" l="1"/>
  <c r="N1083" i="1" s="1"/>
  <c r="K1082" i="1"/>
  <c r="N1082" i="1" s="1"/>
  <c r="K1080" i="1"/>
  <c r="N1080" i="1" s="1"/>
  <c r="K1081" i="1"/>
  <c r="N1081" i="1" s="1"/>
  <c r="K663" i="1"/>
  <c r="N663" i="1" s="1"/>
  <c r="K733" i="1"/>
  <c r="N733" i="1" s="1"/>
  <c r="K630" i="1"/>
  <c r="N630" i="1" s="1"/>
  <c r="K1085" i="1"/>
  <c r="N1085" i="1" s="1"/>
  <c r="K1084" i="1"/>
  <c r="N1084" i="1" s="1"/>
  <c r="K169" i="1"/>
  <c r="N169" i="1" s="1"/>
  <c r="K517" i="1"/>
  <c r="N517" i="1" s="1"/>
  <c r="K676" i="1"/>
  <c r="N676" i="1" s="1"/>
  <c r="K209" i="1"/>
  <c r="N209" i="1" s="1"/>
  <c r="K1026" i="1"/>
  <c r="N1026" i="1" s="1"/>
  <c r="K320" i="1"/>
  <c r="N320" i="1" s="1"/>
  <c r="K618" i="1"/>
  <c r="N618" i="1" s="1"/>
  <c r="K622" i="1"/>
  <c r="N622" i="1" s="1"/>
  <c r="K606" i="1"/>
  <c r="N606" i="1" s="1"/>
  <c r="K619" i="1"/>
  <c r="N619" i="1" s="1"/>
  <c r="K821" i="1" l="1"/>
  <c r="N821" i="1" s="1"/>
  <c r="K857" i="1"/>
  <c r="N857" i="1" s="1"/>
  <c r="K620" i="1"/>
  <c r="N620" i="1" s="1"/>
  <c r="K617" i="1"/>
  <c r="N617" i="1" s="1"/>
  <c r="K403" i="1" l="1"/>
  <c r="N403" i="1" s="1"/>
  <c r="K752" i="1"/>
  <c r="N752" i="1" s="1"/>
  <c r="K750" i="1"/>
  <c r="N750" i="1" s="1"/>
  <c r="K751" i="1"/>
  <c r="N751" i="1" s="1"/>
  <c r="K245" i="1"/>
  <c r="N245" i="1" s="1"/>
  <c r="K518" i="1"/>
  <c r="N518" i="1" s="1"/>
  <c r="K595" i="1"/>
  <c r="K636" i="1"/>
  <c r="K900" i="1"/>
  <c r="I685" i="1" l="1"/>
  <c r="I656" i="1"/>
  <c r="K819" i="1"/>
  <c r="I739" i="1"/>
  <c r="I482" i="1"/>
  <c r="P853" i="1"/>
  <c r="I186" i="1"/>
  <c r="N621" i="1" l="1"/>
  <c r="P621" i="1"/>
  <c r="K621" i="1"/>
  <c r="N636" i="1"/>
  <c r="G128" i="1" l="1"/>
  <c r="G126" i="1"/>
  <c r="G125" i="1"/>
  <c r="I105" i="1"/>
  <c r="N595" i="1" l="1"/>
  <c r="N900" i="1"/>
  <c r="G1118" i="1" l="1"/>
  <c r="G626" i="1" l="1"/>
  <c r="K846" i="1" l="1"/>
  <c r="P846" i="1" s="1"/>
  <c r="K837" i="1"/>
  <c r="P837" i="1" s="1"/>
  <c r="P624" i="1"/>
  <c r="P389" i="1"/>
  <c r="P829" i="1"/>
  <c r="P623" i="1"/>
  <c r="P836" i="1"/>
  <c r="P822" i="1"/>
  <c r="P855" i="1"/>
  <c r="K863" i="1"/>
  <c r="P863" i="1" s="1"/>
  <c r="K839" i="1"/>
  <c r="P839" i="1" s="1"/>
  <c r="K394" i="1" l="1"/>
  <c r="K395" i="1"/>
  <c r="K396" i="1"/>
  <c r="K397" i="1"/>
  <c r="K399" i="1"/>
  <c r="K398" i="1"/>
  <c r="K800" i="1"/>
  <c r="K391" i="1"/>
  <c r="K1091" i="1"/>
  <c r="K393" i="1"/>
  <c r="K1030" i="1"/>
  <c r="K357" i="1"/>
  <c r="K368" i="1"/>
  <c r="K370" i="1"/>
  <c r="K564" i="1"/>
  <c r="K118" i="1"/>
  <c r="K1061" i="1"/>
  <c r="K1062" i="1"/>
  <c r="K43" i="1"/>
  <c r="K47" i="1"/>
  <c r="K49" i="1"/>
  <c r="K58" i="1"/>
  <c r="N58" i="1" s="1"/>
  <c r="K59" i="1"/>
  <c r="N59" i="1" s="1"/>
  <c r="K100" i="1"/>
  <c r="K132" i="1"/>
  <c r="K131" i="1"/>
  <c r="K133" i="1"/>
  <c r="K135" i="1"/>
  <c r="K136" i="1"/>
  <c r="K162" i="1"/>
  <c r="K163" i="1"/>
  <c r="K164" i="1"/>
  <c r="K165" i="1"/>
  <c r="K166" i="1"/>
  <c r="K167" i="1"/>
  <c r="K177" i="1"/>
  <c r="K172" i="1"/>
  <c r="K173" i="1"/>
  <c r="K170" i="1"/>
  <c r="K178" i="1"/>
  <c r="K176" i="1"/>
  <c r="K175" i="1"/>
  <c r="K437" i="1"/>
  <c r="K199" i="1"/>
  <c r="K206" i="1"/>
  <c r="K207" i="1"/>
  <c r="K204" i="1"/>
  <c r="K322" i="1"/>
  <c r="K332" i="1"/>
  <c r="K333" i="1"/>
  <c r="K334" i="1"/>
  <c r="K335" i="1"/>
  <c r="K336" i="1"/>
  <c r="K338" i="1"/>
  <c r="K339" i="1"/>
  <c r="K340" i="1"/>
  <c r="K344" i="1"/>
  <c r="K347" i="1"/>
  <c r="K442" i="1"/>
  <c r="K443" i="1"/>
  <c r="K466" i="1"/>
  <c r="K467" i="1"/>
  <c r="K485" i="1"/>
  <c r="K543" i="1"/>
  <c r="K585" i="1"/>
  <c r="K586" i="1"/>
  <c r="K590" i="1"/>
  <c r="K1145" i="1"/>
  <c r="N1145" i="1" s="1"/>
  <c r="K591" i="1"/>
  <c r="K667" i="1"/>
  <c r="K668" i="1"/>
  <c r="K670" i="1"/>
  <c r="K688" i="1"/>
  <c r="K693" i="1"/>
  <c r="K694" i="1"/>
  <c r="K723" i="1"/>
  <c r="K724" i="1"/>
  <c r="K808" i="1"/>
  <c r="K876" i="1"/>
  <c r="K909" i="1"/>
  <c r="K910" i="1"/>
  <c r="K911" i="1"/>
  <c r="K912" i="1"/>
  <c r="K937" i="1"/>
  <c r="K960" i="1"/>
  <c r="K962" i="1"/>
  <c r="K988" i="1"/>
  <c r="K1013" i="1"/>
  <c r="K1014" i="1"/>
  <c r="K1035" i="1"/>
  <c r="K1036" i="1"/>
  <c r="K1039" i="1"/>
  <c r="K1064" i="1"/>
  <c r="K1088" i="1"/>
  <c r="K1090" i="1"/>
  <c r="K542" i="1"/>
  <c r="K544" i="1"/>
  <c r="K1092" i="1"/>
  <c r="K1093" i="1"/>
  <c r="K1129" i="1"/>
  <c r="K1141" i="1"/>
  <c r="N1141" i="1" s="1"/>
  <c r="K1144" i="1"/>
  <c r="K1060" i="1"/>
  <c r="K731" i="1"/>
  <c r="K185" i="1"/>
  <c r="K194" i="1"/>
  <c r="K422" i="1"/>
  <c r="K424" i="1"/>
  <c r="K425" i="1"/>
  <c r="K728" i="1"/>
  <c r="K290" i="1"/>
  <c r="K832" i="1"/>
  <c r="K842" i="1"/>
  <c r="K853" i="1"/>
  <c r="N853" i="1" s="1"/>
  <c r="K843" i="1"/>
  <c r="K844" i="1"/>
  <c r="K845" i="1"/>
  <c r="K861" i="1"/>
  <c r="K841" i="1"/>
  <c r="K848" i="1"/>
  <c r="K851" i="1"/>
  <c r="K835" i="1"/>
  <c r="K854" i="1"/>
  <c r="K414" i="1"/>
  <c r="K858" i="1"/>
  <c r="K860" i="1"/>
  <c r="K898" i="1"/>
  <c r="K710" i="1"/>
  <c r="K98" i="1"/>
  <c r="K1130" i="1"/>
  <c r="K840" i="1"/>
  <c r="K828" i="1"/>
  <c r="K105" i="1"/>
  <c r="K236" i="1"/>
  <c r="K445" i="1"/>
  <c r="K444" i="1"/>
  <c r="K446" i="1"/>
  <c r="K519" i="1"/>
  <c r="K530" i="1"/>
  <c r="K604" i="1"/>
  <c r="K629" i="1"/>
  <c r="N629" i="1" s="1"/>
  <c r="K605" i="1"/>
  <c r="K363" i="1"/>
  <c r="K364" i="1"/>
  <c r="K366" i="1"/>
  <c r="K499" i="1"/>
  <c r="K522" i="1"/>
  <c r="K523" i="1"/>
  <c r="K524" i="1"/>
  <c r="K526" i="1"/>
  <c r="K528" i="1"/>
  <c r="K392" i="1"/>
  <c r="K892" i="1"/>
  <c r="K893" i="1"/>
  <c r="K10" i="1"/>
  <c r="K78" i="1"/>
  <c r="K81" i="1"/>
  <c r="K411" i="1"/>
  <c r="K412" i="1"/>
  <c r="K179" i="1"/>
  <c r="K181" i="1"/>
  <c r="K183" i="1"/>
  <c r="K251" i="1"/>
  <c r="K375" i="1"/>
  <c r="K376" i="1"/>
  <c r="K406" i="1"/>
  <c r="K409" i="1"/>
  <c r="K410" i="1"/>
  <c r="K550" i="1"/>
  <c r="K626" i="1"/>
  <c r="K690" i="1"/>
  <c r="K890" i="1"/>
  <c r="K891" i="1"/>
  <c r="K897" i="1"/>
  <c r="K947" i="1"/>
  <c r="K1000" i="1"/>
  <c r="K1001" i="1"/>
  <c r="K1003" i="1"/>
  <c r="K1004" i="1"/>
  <c r="K1002" i="1"/>
  <c r="K753" i="1"/>
  <c r="K757" i="1"/>
  <c r="K758" i="1"/>
  <c r="K759" i="1"/>
  <c r="K760" i="1"/>
  <c r="K763" i="1"/>
  <c r="K755" i="1"/>
  <c r="K761" i="1"/>
  <c r="K956" i="1"/>
  <c r="K955" i="1"/>
  <c r="K954" i="1"/>
  <c r="K953" i="1"/>
  <c r="K77" i="1"/>
  <c r="K94" i="1"/>
  <c r="K95" i="1"/>
  <c r="K97" i="1"/>
  <c r="K110" i="1"/>
  <c r="K111" i="1"/>
  <c r="K112" i="1"/>
  <c r="K124" i="1"/>
  <c r="K125" i="1"/>
  <c r="K126" i="1"/>
  <c r="K145" i="1"/>
  <c r="K146" i="1"/>
  <c r="K212" i="1"/>
  <c r="K233" i="1"/>
  <c r="K239" i="1"/>
  <c r="K266" i="1"/>
  <c r="K267" i="1"/>
  <c r="K268" i="1"/>
  <c r="K278" i="1"/>
  <c r="K275" i="1"/>
  <c r="K291" i="1"/>
  <c r="K292" i="1"/>
  <c r="K293" i="1"/>
  <c r="K294" i="1"/>
  <c r="K295" i="1"/>
  <c r="K296" i="1"/>
  <c r="K297" i="1"/>
  <c r="K355" i="1"/>
  <c r="K390" i="1"/>
  <c r="K405" i="1"/>
  <c r="K431" i="1"/>
  <c r="K430" i="1"/>
  <c r="K426" i="1"/>
  <c r="K433" i="1"/>
  <c r="K434" i="1"/>
  <c r="K435" i="1"/>
  <c r="K432" i="1"/>
  <c r="K428" i="1"/>
  <c r="K429" i="1"/>
  <c r="K449" i="1"/>
  <c r="K127" i="1"/>
  <c r="K452" i="1"/>
  <c r="K479" i="1"/>
  <c r="K481" i="1"/>
  <c r="K480" i="1"/>
  <c r="K985" i="1"/>
  <c r="K986" i="1"/>
  <c r="K478" i="1"/>
  <c r="K493" i="1"/>
  <c r="K502" i="1"/>
  <c r="K540" i="1"/>
  <c r="K553" i="1"/>
  <c r="K567" i="1"/>
  <c r="K578" i="1"/>
  <c r="K580" i="1"/>
  <c r="K582" i="1"/>
  <c r="K607" i="1"/>
  <c r="K441" i="1"/>
  <c r="K581" i="1"/>
  <c r="K583" i="1"/>
  <c r="K584" i="1"/>
  <c r="K599" i="1"/>
  <c r="K608" i="1"/>
  <c r="K631" i="1"/>
  <c r="K703" i="1"/>
  <c r="K736" i="1"/>
  <c r="K740" i="1"/>
  <c r="K741" i="1"/>
  <c r="K742" i="1"/>
  <c r="K743" i="1"/>
  <c r="K744" i="1"/>
  <c r="K745" i="1"/>
  <c r="K746" i="1"/>
  <c r="K747" i="1"/>
  <c r="K504" i="1"/>
  <c r="K778" i="1"/>
  <c r="K777" i="1"/>
  <c r="K782" i="1"/>
  <c r="K783" i="1"/>
  <c r="K787" i="1"/>
  <c r="K793" i="1"/>
  <c r="K794" i="1"/>
  <c r="K797" i="1"/>
  <c r="K798" i="1"/>
  <c r="K801" i="1"/>
  <c r="K702" i="1"/>
  <c r="K109" i="1"/>
  <c r="K871" i="1"/>
  <c r="K737" i="1"/>
  <c r="K880" i="1"/>
  <c r="K882" i="1"/>
  <c r="K884" i="1"/>
  <c r="K903" i="1"/>
  <c r="K916" i="1"/>
  <c r="K919" i="1"/>
  <c r="K920" i="1"/>
  <c r="K696" i="1"/>
  <c r="K921" i="1"/>
  <c r="K925" i="1"/>
  <c r="K922" i="1"/>
  <c r="K928" i="1"/>
  <c r="K929" i="1"/>
  <c r="K931" i="1"/>
  <c r="K933" i="1"/>
  <c r="K934" i="1"/>
  <c r="K939" i="1"/>
  <c r="K948" i="1"/>
  <c r="K950" i="1"/>
  <c r="K951" i="1"/>
  <c r="K952" i="1"/>
  <c r="K979" i="1"/>
  <c r="K980" i="1"/>
  <c r="K981" i="1"/>
  <c r="K983" i="1"/>
  <c r="K984" i="1"/>
  <c r="K987" i="1"/>
  <c r="K997" i="1"/>
  <c r="K1027" i="1"/>
  <c r="K1028" i="1"/>
  <c r="K1040" i="1"/>
  <c r="K1089" i="1"/>
  <c r="K1169" i="1"/>
  <c r="K883" i="1"/>
  <c r="K807" i="1"/>
  <c r="N807" i="1" s="1"/>
  <c r="K784" i="1"/>
  <c r="K579" i="1"/>
  <c r="K96" i="1"/>
  <c r="K161" i="1"/>
  <c r="K23" i="1"/>
  <c r="K24" i="1"/>
  <c r="K22" i="1"/>
  <c r="K26" i="1"/>
  <c r="K18" i="1"/>
  <c r="K29" i="1"/>
  <c r="K19" i="1"/>
  <c r="K27" i="1"/>
  <c r="P27" i="1" s="1"/>
  <c r="K1165" i="1"/>
  <c r="K1163" i="1"/>
  <c r="K1162" i="1"/>
  <c r="K1156" i="1"/>
  <c r="K84" i="1"/>
  <c r="K139" i="1"/>
  <c r="K138" i="1"/>
  <c r="K141" i="1"/>
  <c r="K198" i="1"/>
  <c r="K253" i="1"/>
  <c r="K142" i="1"/>
  <c r="K140" i="1"/>
  <c r="K978" i="1"/>
  <c r="K313" i="1"/>
  <c r="K314" i="1"/>
  <c r="K316" i="1"/>
  <c r="K318" i="1"/>
  <c r="P318" i="1" s="1"/>
  <c r="K349" i="1"/>
  <c r="K350" i="1"/>
  <c r="K351" i="1"/>
  <c r="K352" i="1"/>
  <c r="K354" i="1"/>
  <c r="K353" i="1"/>
  <c r="K367" i="1"/>
  <c r="K379" i="1"/>
  <c r="K401" i="1"/>
  <c r="K505" i="1"/>
  <c r="K575" i="1"/>
  <c r="K563" i="1"/>
  <c r="K566" i="1"/>
  <c r="K571" i="1"/>
  <c r="K572" i="1"/>
  <c r="K573" i="1"/>
  <c r="K695" i="1"/>
  <c r="K641" i="1"/>
  <c r="K643" i="1"/>
  <c r="K647" i="1"/>
  <c r="K649" i="1"/>
  <c r="K650" i="1"/>
  <c r="K651" i="1"/>
  <c r="K655" i="1"/>
  <c r="K656" i="1"/>
  <c r="K657" i="1"/>
  <c r="K658" i="1"/>
  <c r="K685" i="1"/>
  <c r="K686" i="1"/>
  <c r="K687" i="1"/>
  <c r="K725" i="1"/>
  <c r="K802" i="1"/>
  <c r="K868" i="1"/>
  <c r="K899" i="1"/>
  <c r="K908" i="1"/>
  <c r="K935" i="1"/>
  <c r="K977" i="1"/>
  <c r="K1016" i="1"/>
  <c r="K1023" i="1"/>
  <c r="K1017" i="1"/>
  <c r="K1024" i="1"/>
  <c r="K1025" i="1"/>
  <c r="K1018" i="1"/>
  <c r="K1021" i="1"/>
  <c r="K1022" i="1"/>
  <c r="K1031" i="1"/>
  <c r="K1032" i="1"/>
  <c r="K1033" i="1"/>
  <c r="K1041" i="1"/>
  <c r="K1045" i="1"/>
  <c r="K1042" i="1"/>
  <c r="K1043" i="1"/>
  <c r="K1044" i="1"/>
  <c r="K1046" i="1"/>
  <c r="K1138" i="1"/>
  <c r="K1158" i="1"/>
  <c r="K1159" i="1"/>
  <c r="K1160" i="1"/>
  <c r="K1161" i="1"/>
  <c r="K1166" i="1"/>
  <c r="K1167" i="1"/>
  <c r="K1168" i="1"/>
  <c r="K1063" i="1"/>
  <c r="K284" i="1"/>
  <c r="K285" i="1"/>
  <c r="K963" i="1"/>
  <c r="K971" i="1"/>
  <c r="K279" i="1"/>
  <c r="K973" i="1"/>
  <c r="K28" i="1"/>
  <c r="K402" i="1"/>
  <c r="K732" i="1"/>
  <c r="K1110" i="1"/>
  <c r="K1113" i="1"/>
  <c r="K1108" i="1"/>
  <c r="K1109" i="1"/>
  <c r="K1112" i="1"/>
  <c r="K1067" i="1"/>
  <c r="K1098" i="1"/>
  <c r="K1068" i="1"/>
  <c r="K1099" i="1"/>
  <c r="K1066" i="1"/>
  <c r="K1111" i="1"/>
  <c r="K1107" i="1"/>
  <c r="K1100" i="1"/>
  <c r="K1101" i="1"/>
  <c r="K1102" i="1"/>
  <c r="K894" i="1"/>
  <c r="K1034" i="1"/>
  <c r="K102" i="1"/>
  <c r="K103" i="1"/>
  <c r="K101" i="1"/>
  <c r="K104" i="1"/>
  <c r="K337" i="1"/>
  <c r="K1128" i="1"/>
  <c r="K1155" i="1"/>
  <c r="K1097" i="1"/>
  <c r="N1097" i="1" s="1"/>
  <c r="K421" i="1"/>
  <c r="N421" i="1" s="1"/>
  <c r="N230" i="1"/>
  <c r="K838" i="1"/>
  <c r="N838" i="1" s="1"/>
  <c r="K824" i="1"/>
  <c r="N824" i="1" s="1"/>
  <c r="K826" i="1"/>
  <c r="N826" i="1" s="1"/>
  <c r="K388" i="1"/>
  <c r="K400" i="1"/>
  <c r="N400" i="1" s="1"/>
  <c r="K708" i="1"/>
  <c r="K491" i="1"/>
  <c r="K6" i="1"/>
  <c r="K7" i="1"/>
  <c r="K8" i="1"/>
  <c r="K37" i="1"/>
  <c r="K865" i="1"/>
  <c r="K129" i="1"/>
  <c r="K1070" i="1"/>
  <c r="K1075" i="1"/>
  <c r="K1076" i="1"/>
  <c r="K1078" i="1"/>
  <c r="K232" i="1"/>
  <c r="K241" i="1"/>
  <c r="K269" i="1"/>
  <c r="K286" i="1"/>
  <c r="K288" i="1"/>
  <c r="K289" i="1"/>
  <c r="K330" i="1"/>
  <c r="K346" i="1"/>
  <c r="K415" i="1"/>
  <c r="K416" i="1"/>
  <c r="K448" i="1"/>
  <c r="K536" i="1"/>
  <c r="N536" i="1" s="1"/>
  <c r="K568" i="1"/>
  <c r="K628" i="1"/>
  <c r="K633" i="1"/>
  <c r="K681" i="1"/>
  <c r="K705" i="1"/>
  <c r="K726" i="1"/>
  <c r="K788" i="1"/>
  <c r="K820" i="1"/>
  <c r="K881" i="1"/>
  <c r="K896" i="1"/>
  <c r="K905" i="1"/>
  <c r="K902" i="1"/>
  <c r="K938" i="1"/>
  <c r="K982" i="1"/>
  <c r="K993" i="1"/>
  <c r="K1053" i="1"/>
  <c r="K1117" i="1"/>
  <c r="K1116" i="1"/>
  <c r="K1126" i="1"/>
  <c r="K1154" i="1"/>
  <c r="K13" i="1"/>
  <c r="K34" i="1"/>
  <c r="K453" i="1"/>
  <c r="K460" i="1"/>
  <c r="K461" i="1"/>
  <c r="K462" i="1"/>
  <c r="K463" i="1"/>
  <c r="K469" i="1"/>
  <c r="K471" i="1"/>
  <c r="K472" i="1"/>
  <c r="K473" i="1"/>
  <c r="K474" i="1"/>
  <c r="K454" i="1"/>
  <c r="K457" i="1"/>
  <c r="K456" i="1"/>
  <c r="K455" i="1"/>
  <c r="K470" i="1"/>
  <c r="K475" i="1"/>
  <c r="K917" i="1"/>
  <c r="K1011" i="1"/>
  <c r="K1012" i="1"/>
  <c r="K1054" i="1"/>
  <c r="K248" i="1"/>
  <c r="K250" i="1"/>
  <c r="K301" i="1"/>
  <c r="K515" i="1"/>
  <c r="K516" i="1"/>
  <c r="K730" i="1"/>
  <c r="K195" i="1"/>
  <c r="K186" i="1"/>
  <c r="P230" i="1" l="1"/>
  <c r="G490" i="1"/>
  <c r="K490" i="1" s="1"/>
  <c r="G489" i="1" l="1"/>
  <c r="K489" i="1" s="1"/>
  <c r="G488" i="1" l="1"/>
  <c r="K488" i="1" s="1"/>
  <c r="I229" i="1" l="1"/>
  <c r="K229" i="1" s="1"/>
  <c r="K252" i="1" l="1"/>
  <c r="G780" i="1" l="1"/>
  <c r="K780" i="1" s="1"/>
  <c r="G785" i="1" l="1"/>
  <c r="K785" i="1" s="1"/>
  <c r="K640" i="1" l="1"/>
  <c r="G932" i="1" l="1"/>
  <c r="K932" i="1" s="1"/>
  <c r="N819" i="1" l="1"/>
  <c r="N1155" i="1" l="1"/>
  <c r="N1128" i="1"/>
  <c r="N337" i="1"/>
  <c r="N104" i="1"/>
  <c r="N101" i="1"/>
  <c r="N103" i="1"/>
  <c r="N102" i="1"/>
  <c r="N1034" i="1"/>
  <c r="N894" i="1"/>
  <c r="N1102" i="1"/>
  <c r="N1101" i="1"/>
  <c r="N1100" i="1"/>
  <c r="N1107" i="1"/>
  <c r="N1111" i="1"/>
  <c r="N1066" i="1"/>
  <c r="N1099" i="1"/>
  <c r="N1068" i="1"/>
  <c r="N1098" i="1"/>
  <c r="N1067" i="1"/>
  <c r="N1112" i="1"/>
  <c r="N1109" i="1"/>
  <c r="N1108" i="1"/>
  <c r="N1113" i="1"/>
  <c r="N1110" i="1"/>
  <c r="N732" i="1"/>
  <c r="N402" i="1"/>
  <c r="N28" i="1"/>
  <c r="N973" i="1"/>
  <c r="N279" i="1"/>
  <c r="N971" i="1"/>
  <c r="N963" i="1"/>
  <c r="N285" i="1"/>
  <c r="N284" i="1"/>
  <c r="G1057" i="1"/>
  <c r="N1063" i="1"/>
  <c r="N1168" i="1"/>
  <c r="N1167" i="1"/>
  <c r="N1166" i="1"/>
  <c r="N1164" i="1"/>
  <c r="N1161" i="1"/>
  <c r="N1160" i="1"/>
  <c r="N1159" i="1"/>
  <c r="N1158" i="1"/>
  <c r="G1157" i="1"/>
  <c r="N1138" i="1"/>
  <c r="N1046" i="1"/>
  <c r="N1044" i="1"/>
  <c r="N1043" i="1"/>
  <c r="N1042" i="1"/>
  <c r="N1045" i="1"/>
  <c r="N1041" i="1"/>
  <c r="N1033" i="1"/>
  <c r="N1032" i="1"/>
  <c r="N1031" i="1"/>
  <c r="N1022" i="1"/>
  <c r="N1021" i="1"/>
  <c r="G1019" i="1"/>
  <c r="N1018" i="1"/>
  <c r="N1025" i="1"/>
  <c r="N1024" i="1"/>
  <c r="N1017" i="1"/>
  <c r="N1023" i="1"/>
  <c r="N1016" i="1"/>
  <c r="N977" i="1"/>
  <c r="N935" i="1"/>
  <c r="N908" i="1"/>
  <c r="N899" i="1"/>
  <c r="N1183" i="1"/>
  <c r="N868" i="1"/>
  <c r="N802" i="1"/>
  <c r="N725" i="1"/>
  <c r="G719" i="1"/>
  <c r="N687" i="1"/>
  <c r="N686" i="1"/>
  <c r="N685" i="1"/>
  <c r="N658" i="1"/>
  <c r="N657" i="1"/>
  <c r="N656" i="1"/>
  <c r="N655" i="1"/>
  <c r="N651" i="1"/>
  <c r="N650" i="1"/>
  <c r="N649" i="1"/>
  <c r="G648" i="1"/>
  <c r="N647" i="1"/>
  <c r="N645" i="1"/>
  <c r="N643" i="1"/>
  <c r="N641" i="1"/>
  <c r="N640" i="1"/>
  <c r="N695" i="1"/>
  <c r="N573" i="1"/>
  <c r="N572" i="1"/>
  <c r="N571" i="1"/>
  <c r="N566" i="1"/>
  <c r="N563" i="1"/>
  <c r="N575" i="1"/>
  <c r="N505" i="1"/>
  <c r="N401" i="1"/>
  <c r="N379" i="1"/>
  <c r="N367" i="1"/>
  <c r="N353" i="1"/>
  <c r="N354" i="1"/>
  <c r="N352" i="1"/>
  <c r="N351" i="1"/>
  <c r="N350" i="1"/>
  <c r="N349" i="1"/>
  <c r="N318" i="1"/>
  <c r="N316" i="1"/>
  <c r="N314" i="1"/>
  <c r="N313" i="1"/>
  <c r="N308" i="1"/>
  <c r="N978" i="1"/>
  <c r="N140" i="1"/>
  <c r="N142" i="1"/>
  <c r="N253" i="1"/>
  <c r="N198" i="1"/>
  <c r="N141" i="1"/>
  <c r="N138" i="1"/>
  <c r="N139" i="1"/>
  <c r="N84" i="1"/>
  <c r="N1156" i="1"/>
  <c r="N1162" i="1"/>
  <c r="N1163" i="1"/>
  <c r="N1165" i="1"/>
  <c r="N27" i="1"/>
  <c r="G21" i="1"/>
  <c r="G20" i="1"/>
  <c r="N19" i="1"/>
  <c r="N29" i="1"/>
  <c r="N18" i="1"/>
  <c r="N26" i="1"/>
  <c r="G25" i="1"/>
  <c r="N22" i="1"/>
  <c r="N24" i="1"/>
  <c r="N23" i="1"/>
  <c r="N161" i="1"/>
  <c r="N96" i="1"/>
  <c r="N883" i="1"/>
  <c r="N1169" i="1"/>
  <c r="N1089" i="1"/>
  <c r="N1040" i="1"/>
  <c r="G1038" i="1"/>
  <c r="N1028" i="1"/>
  <c r="N1027" i="1"/>
  <c r="N997" i="1"/>
  <c r="N987" i="1"/>
  <c r="N984" i="1"/>
  <c r="N983" i="1"/>
  <c r="N981" i="1"/>
  <c r="N980" i="1"/>
  <c r="N979" i="1"/>
  <c r="N952" i="1"/>
  <c r="N951" i="1"/>
  <c r="N950" i="1"/>
  <c r="G949" i="1"/>
  <c r="N948" i="1"/>
  <c r="N939" i="1"/>
  <c r="N934" i="1"/>
  <c r="N933" i="1"/>
  <c r="N932" i="1"/>
  <c r="N931" i="1"/>
  <c r="G930" i="1"/>
  <c r="N929" i="1"/>
  <c r="N928" i="1"/>
  <c r="G923" i="1"/>
  <c r="G926" i="1"/>
  <c r="N922" i="1"/>
  <c r="N925" i="1"/>
  <c r="G924" i="1"/>
  <c r="N921" i="1"/>
  <c r="N696" i="1"/>
  <c r="N920" i="1"/>
  <c r="N919" i="1"/>
  <c r="G918" i="1"/>
  <c r="N916" i="1"/>
  <c r="N903" i="1"/>
  <c r="N884" i="1"/>
  <c r="N882" i="1"/>
  <c r="N880" i="1"/>
  <c r="N737" i="1"/>
  <c r="N871" i="1"/>
  <c r="N109" i="1"/>
  <c r="N702" i="1"/>
  <c r="N801" i="1"/>
  <c r="N798" i="1"/>
  <c r="N797" i="1"/>
  <c r="N794" i="1"/>
  <c r="N793" i="1"/>
  <c r="N787" i="1"/>
  <c r="G786" i="1"/>
  <c r="N783" i="1"/>
  <c r="N782" i="1"/>
  <c r="N777" i="1"/>
  <c r="N778" i="1"/>
  <c r="N504" i="1"/>
  <c r="N747" i="1"/>
  <c r="N746" i="1"/>
  <c r="N745" i="1"/>
  <c r="N744" i="1"/>
  <c r="N743" i="1"/>
  <c r="N742" i="1"/>
  <c r="N741" i="1"/>
  <c r="N740" i="1"/>
  <c r="G739" i="1"/>
  <c r="N736" i="1"/>
  <c r="N703" i="1"/>
  <c r="G699" i="1"/>
  <c r="N631" i="1"/>
  <c r="G610" i="1"/>
  <c r="N608" i="1"/>
  <c r="N599" i="1"/>
  <c r="N598" i="1"/>
  <c r="G597" i="1"/>
  <c r="N584" i="1"/>
  <c r="N583" i="1"/>
  <c r="N581" i="1"/>
  <c r="N441" i="1"/>
  <c r="N607" i="1"/>
  <c r="N582" i="1"/>
  <c r="N580" i="1"/>
  <c r="N578" i="1"/>
  <c r="N567" i="1"/>
  <c r="N553" i="1"/>
  <c r="N540" i="1"/>
  <c r="G503" i="1"/>
  <c r="N502" i="1"/>
  <c r="N493" i="1"/>
  <c r="N483" i="1"/>
  <c r="G482" i="1"/>
  <c r="N478" i="1"/>
  <c r="N986" i="1"/>
  <c r="N985" i="1"/>
  <c r="N480" i="1"/>
  <c r="N481" i="1"/>
  <c r="N479" i="1"/>
  <c r="N452" i="1"/>
  <c r="N127" i="1"/>
  <c r="N449" i="1"/>
  <c r="N429" i="1"/>
  <c r="N428" i="1"/>
  <c r="N432" i="1"/>
  <c r="G427" i="1"/>
  <c r="N435" i="1"/>
  <c r="N434" i="1"/>
  <c r="N433" i="1"/>
  <c r="N426" i="1"/>
  <c r="N430" i="1"/>
  <c r="N431" i="1"/>
  <c r="N405" i="1"/>
  <c r="N390" i="1"/>
  <c r="N355" i="1"/>
  <c r="N297" i="1"/>
  <c r="N296" i="1"/>
  <c r="N295" i="1"/>
  <c r="N294" i="1"/>
  <c r="N293" i="1"/>
  <c r="N292" i="1"/>
  <c r="N291" i="1"/>
  <c r="N275" i="1"/>
  <c r="G282" i="1"/>
  <c r="N278" i="1"/>
  <c r="N268" i="1"/>
  <c r="N267" i="1"/>
  <c r="N266" i="1"/>
  <c r="N239" i="1"/>
  <c r="G234" i="1"/>
  <c r="N233" i="1"/>
  <c r="N212" i="1"/>
  <c r="N146" i="1"/>
  <c r="N145" i="1"/>
  <c r="N126" i="1"/>
  <c r="N125" i="1"/>
  <c r="N124" i="1"/>
  <c r="G113" i="1"/>
  <c r="N112" i="1"/>
  <c r="N111" i="1"/>
  <c r="N110" i="1"/>
  <c r="N97" i="1"/>
  <c r="N95" i="1"/>
  <c r="N94" i="1"/>
  <c r="N77" i="1"/>
  <c r="N953" i="1"/>
  <c r="N954" i="1"/>
  <c r="N955" i="1"/>
  <c r="N956" i="1"/>
  <c r="N761" i="1"/>
  <c r="N755" i="1"/>
  <c r="N763" i="1"/>
  <c r="N760" i="1"/>
  <c r="N759" i="1"/>
  <c r="N758" i="1"/>
  <c r="N757" i="1"/>
  <c r="G756" i="1"/>
  <c r="N753" i="1"/>
  <c r="N1002" i="1"/>
  <c r="N1004" i="1"/>
  <c r="N1003" i="1"/>
  <c r="N1001" i="1"/>
  <c r="N1000" i="1"/>
  <c r="N947" i="1"/>
  <c r="N897" i="1"/>
  <c r="N891" i="1"/>
  <c r="N890" i="1"/>
  <c r="G814" i="1"/>
  <c r="G811" i="1"/>
  <c r="N785" i="1"/>
  <c r="G781" i="1"/>
  <c r="K781" i="1" s="1"/>
  <c r="N780" i="1"/>
  <c r="G727" i="1"/>
  <c r="G720" i="1"/>
  <c r="N690" i="1"/>
  <c r="G689" i="1"/>
  <c r="N673" i="1"/>
  <c r="N672" i="1"/>
  <c r="N626" i="1"/>
  <c r="G552" i="1"/>
  <c r="N550" i="1"/>
  <c r="N490" i="1"/>
  <c r="N489" i="1"/>
  <c r="N488" i="1"/>
  <c r="N410" i="1"/>
  <c r="N409" i="1"/>
  <c r="G407" i="1"/>
  <c r="N406" i="1"/>
  <c r="G408" i="1"/>
  <c r="N376" i="1"/>
  <c r="N375" i="1"/>
  <c r="G374" i="1"/>
  <c r="N252" i="1"/>
  <c r="N251" i="1"/>
  <c r="G180" i="1"/>
  <c r="N183" i="1"/>
  <c r="N181" i="1"/>
  <c r="N179" i="1"/>
  <c r="N412" i="1"/>
  <c r="N411" i="1"/>
  <c r="N81" i="1"/>
  <c r="G79" i="1"/>
  <c r="N78" i="1"/>
  <c r="N10" i="1"/>
  <c r="N893" i="1"/>
  <c r="N892" i="1"/>
  <c r="N730" i="1"/>
  <c r="N516" i="1"/>
  <c r="N515" i="1"/>
  <c r="G513" i="1"/>
  <c r="G300" i="1"/>
  <c r="N301" i="1"/>
  <c r="N250" i="1"/>
  <c r="N248" i="1"/>
  <c r="G38" i="1"/>
  <c r="G373" i="1"/>
  <c r="N1054" i="1"/>
  <c r="N1012" i="1"/>
  <c r="N1011" i="1"/>
  <c r="N917" i="1"/>
  <c r="G799" i="1"/>
  <c r="N475" i="1"/>
  <c r="N470" i="1"/>
  <c r="N455" i="1"/>
  <c r="N456" i="1"/>
  <c r="N457" i="1"/>
  <c r="N454" i="1"/>
  <c r="N474" i="1"/>
  <c r="N473" i="1"/>
  <c r="N472" i="1"/>
  <c r="N471" i="1"/>
  <c r="N469" i="1"/>
  <c r="N463" i="1"/>
  <c r="N462" i="1"/>
  <c r="N461" i="1"/>
  <c r="N460" i="1"/>
  <c r="N453" i="1"/>
  <c r="G32" i="1"/>
  <c r="N34" i="1"/>
  <c r="N13" i="1"/>
  <c r="G1119" i="1"/>
  <c r="G114" i="1"/>
  <c r="N1154" i="1"/>
  <c r="N1126" i="1"/>
  <c r="N1116" i="1"/>
  <c r="G1114" i="1"/>
  <c r="N1117" i="1"/>
  <c r="N1053" i="1"/>
  <c r="G1049" i="1"/>
  <c r="N993" i="1"/>
  <c r="N982" i="1"/>
  <c r="G704" i="1"/>
  <c r="G959" i="1"/>
  <c r="N938" i="1"/>
  <c r="N902" i="1"/>
  <c r="N905" i="1"/>
  <c r="N896" i="1"/>
  <c r="N881" i="1"/>
  <c r="G879" i="1"/>
  <c r="N820" i="1"/>
  <c r="N788" i="1"/>
  <c r="G762" i="1"/>
  <c r="N726" i="1"/>
  <c r="N705" i="1"/>
  <c r="N684" i="1"/>
  <c r="N681" i="1"/>
  <c r="G674" i="1"/>
  <c r="G666" i="1"/>
  <c r="N633" i="1"/>
  <c r="G632" i="1"/>
  <c r="N628" i="1"/>
  <c r="G569" i="1"/>
  <c r="N568" i="1"/>
  <c r="N448" i="1"/>
  <c r="N416" i="1"/>
  <c r="N415" i="1"/>
  <c r="N346" i="1"/>
  <c r="G331" i="1"/>
  <c r="N330" i="1"/>
  <c r="N289" i="1"/>
  <c r="N288" i="1"/>
  <c r="G287" i="1"/>
  <c r="N286" i="1"/>
  <c r="N269" i="1"/>
  <c r="N256" i="1"/>
  <c r="N241" i="1"/>
  <c r="N232" i="1"/>
  <c r="G1079" i="1"/>
  <c r="N1078" i="1"/>
  <c r="N1076" i="1"/>
  <c r="N1075" i="1"/>
  <c r="N1070" i="1"/>
  <c r="N129" i="1"/>
  <c r="N865" i="1"/>
  <c r="N37" i="1"/>
  <c r="N8" i="1"/>
  <c r="N7" i="1"/>
  <c r="N6" i="1"/>
  <c r="N491" i="1"/>
  <c r="N708" i="1"/>
  <c r="G709" i="1"/>
  <c r="N528" i="1"/>
  <c r="N526" i="1"/>
  <c r="G525" i="1"/>
  <c r="K525" i="1" s="1"/>
  <c r="N524" i="1"/>
  <c r="N523" i="1"/>
  <c r="G520" i="1"/>
  <c r="K520" i="1" s="1"/>
  <c r="N522" i="1"/>
  <c r="G500" i="1"/>
  <c r="K500" i="1" s="1"/>
  <c r="N499" i="1"/>
  <c r="N366" i="1"/>
  <c r="N364" i="1"/>
  <c r="N363" i="1"/>
  <c r="N605" i="1"/>
  <c r="N604" i="1"/>
  <c r="N530" i="1"/>
  <c r="N519" i="1"/>
  <c r="N446" i="1"/>
  <c r="N444" i="1"/>
  <c r="N445" i="1"/>
  <c r="N236" i="1"/>
  <c r="N105" i="1"/>
  <c r="K1065" i="1"/>
  <c r="N828" i="1"/>
  <c r="N840" i="1"/>
  <c r="N1130" i="1"/>
  <c r="N98" i="1"/>
  <c r="N710" i="1"/>
  <c r="N898" i="1"/>
  <c r="N860" i="1"/>
  <c r="K859" i="1"/>
  <c r="N858" i="1"/>
  <c r="N414" i="1"/>
  <c r="G856" i="1"/>
  <c r="K856" i="1" s="1"/>
  <c r="N854" i="1"/>
  <c r="G852" i="1"/>
  <c r="K852" i="1" s="1"/>
  <c r="N835" i="1"/>
  <c r="N851" i="1"/>
  <c r="N848" i="1"/>
  <c r="N841" i="1"/>
  <c r="N861" i="1"/>
  <c r="N845" i="1"/>
  <c r="N844" i="1"/>
  <c r="N843" i="1"/>
  <c r="N842" i="1"/>
  <c r="N832" i="1"/>
  <c r="G850" i="1"/>
  <c r="N290" i="1"/>
  <c r="N728" i="1"/>
  <c r="N425" i="1"/>
  <c r="N424" i="1"/>
  <c r="N422" i="1"/>
  <c r="G943" i="1"/>
  <c r="G887" i="1"/>
  <c r="G197" i="1"/>
  <c r="N194" i="1"/>
  <c r="N195" i="1"/>
  <c r="G196" i="1"/>
  <c r="N185" i="1"/>
  <c r="N186" i="1"/>
  <c r="N731" i="1"/>
  <c r="G944" i="1"/>
  <c r="N1060" i="1"/>
  <c r="N1144" i="1"/>
  <c r="N1129" i="1"/>
  <c r="N1093" i="1"/>
  <c r="N1092" i="1"/>
  <c r="N544" i="1"/>
  <c r="N542" i="1"/>
  <c r="N1090" i="1"/>
  <c r="N1088" i="1"/>
  <c r="N1064" i="1"/>
  <c r="N1039" i="1"/>
  <c r="G1037" i="1"/>
  <c r="N1036" i="1"/>
  <c r="N1035" i="1"/>
  <c r="N1014" i="1"/>
  <c r="N1013" i="1"/>
  <c r="N988" i="1"/>
  <c r="N962" i="1"/>
  <c r="N960" i="1"/>
  <c r="N937" i="1"/>
  <c r="N912" i="1"/>
  <c r="N911" i="1"/>
  <c r="N910" i="1"/>
  <c r="N909" i="1"/>
  <c r="N876" i="1"/>
  <c r="G818" i="1"/>
  <c r="K818" i="1" s="1"/>
  <c r="N818" i="1" s="1"/>
  <c r="N808" i="1"/>
  <c r="N724" i="1"/>
  <c r="N723" i="1"/>
  <c r="N694" i="1"/>
  <c r="N693" i="1"/>
  <c r="N688" i="1"/>
  <c r="N670" i="1"/>
  <c r="G669" i="1"/>
  <c r="N668" i="1"/>
  <c r="N667" i="1"/>
  <c r="N591" i="1"/>
  <c r="N590" i="1"/>
  <c r="N586" i="1"/>
  <c r="N585" i="1"/>
  <c r="N543" i="1"/>
  <c r="G541" i="1"/>
  <c r="N485" i="1"/>
  <c r="N467" i="1"/>
  <c r="N466" i="1"/>
  <c r="N443" i="1"/>
  <c r="N442" i="1"/>
  <c r="N347" i="1"/>
  <c r="N344" i="1"/>
  <c r="N340" i="1"/>
  <c r="N339" i="1"/>
  <c r="N338" i="1"/>
  <c r="N336" i="1"/>
  <c r="N335" i="1"/>
  <c r="N334" i="1"/>
  <c r="N333" i="1"/>
  <c r="N332" i="1"/>
  <c r="G324" i="1"/>
  <c r="N322" i="1"/>
  <c r="N204" i="1"/>
  <c r="N207" i="1"/>
  <c r="N206" i="1"/>
  <c r="G201" i="1"/>
  <c r="N199" i="1"/>
  <c r="N437" i="1"/>
  <c r="N175" i="1"/>
  <c r="N176" i="1"/>
  <c r="N178" i="1"/>
  <c r="N170" i="1"/>
  <c r="N173" i="1"/>
  <c r="N172" i="1"/>
  <c r="N177" i="1"/>
  <c r="G168" i="1"/>
  <c r="N167" i="1"/>
  <c r="N166" i="1"/>
  <c r="N165" i="1"/>
  <c r="N164" i="1"/>
  <c r="N163" i="1"/>
  <c r="N162" i="1"/>
  <c r="N136" i="1"/>
  <c r="N135" i="1"/>
  <c r="N133" i="1"/>
  <c r="N131" i="1"/>
  <c r="N132" i="1"/>
  <c r="N100" i="1"/>
  <c r="N49" i="1"/>
  <c r="G48" i="1"/>
  <c r="N47" i="1"/>
  <c r="G44" i="1"/>
  <c r="N43" i="1"/>
  <c r="N1062" i="1"/>
  <c r="N1061" i="1"/>
  <c r="G1055" i="1"/>
  <c r="G1056" i="1"/>
  <c r="G976" i="1"/>
  <c r="N118" i="1"/>
  <c r="G119" i="1"/>
  <c r="N564" i="1"/>
  <c r="G200" i="1"/>
  <c r="K200" i="1" s="1"/>
  <c r="G93" i="1"/>
  <c r="N370" i="1"/>
  <c r="N368" i="1"/>
  <c r="N357" i="1"/>
  <c r="N1030" i="1"/>
  <c r="N393" i="1"/>
  <c r="N1091" i="1"/>
  <c r="N391" i="1"/>
  <c r="N800" i="1"/>
  <c r="N398" i="1"/>
  <c r="N399" i="1"/>
  <c r="N397" i="1"/>
  <c r="N396" i="1"/>
  <c r="N395" i="1"/>
  <c r="N394" i="1"/>
  <c r="N392" i="1"/>
  <c r="K669" i="1" l="1"/>
  <c r="N669" i="1" s="1"/>
  <c r="K44" i="1"/>
  <c r="N44" i="1" s="1"/>
  <c r="K1037" i="1"/>
  <c r="N1037" i="1" s="1"/>
  <c r="K93" i="1"/>
  <c r="N93" i="1" s="1"/>
  <c r="K541" i="1"/>
  <c r="N541" i="1" s="1"/>
  <c r="K48" i="1"/>
  <c r="N48" i="1" s="1"/>
  <c r="K201" i="1"/>
  <c r="N201" i="1" s="1"/>
  <c r="K196" i="1"/>
  <c r="N196" i="1" s="1"/>
  <c r="K850" i="1"/>
  <c r="N850" i="1" s="1"/>
  <c r="N200" i="1"/>
  <c r="K976" i="1"/>
  <c r="N976" i="1" s="1"/>
  <c r="K99" i="1"/>
  <c r="N99" i="1" s="1"/>
  <c r="K119" i="1"/>
  <c r="N119" i="1" s="1"/>
  <c r="K1056" i="1"/>
  <c r="N1056" i="1" s="1"/>
  <c r="K168" i="1"/>
  <c r="N168" i="1" s="1"/>
  <c r="K817" i="1"/>
  <c r="N817" i="1" s="1"/>
  <c r="K944" i="1"/>
  <c r="N944" i="1" s="1"/>
  <c r="K1055" i="1"/>
  <c r="N1055" i="1" s="1"/>
  <c r="K197" i="1"/>
  <c r="N197" i="1" s="1"/>
  <c r="K887" i="1"/>
  <c r="N887" i="1" s="1"/>
  <c r="K324" i="1"/>
  <c r="N324" i="1" s="1"/>
  <c r="K943" i="1"/>
  <c r="N943" i="1" s="1"/>
  <c r="N520" i="1"/>
  <c r="K959" i="1"/>
  <c r="N959" i="1" s="1"/>
  <c r="K1119" i="1"/>
  <c r="N1119" i="1" s="1"/>
  <c r="K182" i="1"/>
  <c r="N182" i="1" s="1"/>
  <c r="K720" i="1"/>
  <c r="N720" i="1" s="1"/>
  <c r="K234" i="1"/>
  <c r="N234" i="1" s="1"/>
  <c r="K427" i="1"/>
  <c r="N427" i="1" s="1"/>
  <c r="K700" i="1"/>
  <c r="N700" i="1" s="1"/>
  <c r="K918" i="1"/>
  <c r="N918" i="1" s="1"/>
  <c r="K930" i="1"/>
  <c r="N930" i="1" s="1"/>
  <c r="K792" i="1"/>
  <c r="N792" i="1" s="1"/>
  <c r="K648" i="1"/>
  <c r="N648" i="1" s="1"/>
  <c r="K704" i="1"/>
  <c r="N704" i="1" s="1"/>
  <c r="K1118" i="1"/>
  <c r="N1118" i="1" s="1"/>
  <c r="K727" i="1"/>
  <c r="N727" i="1" s="1"/>
  <c r="K482" i="1"/>
  <c r="N482" i="1" s="1"/>
  <c r="K701" i="1"/>
  <c r="N701" i="1" s="1"/>
  <c r="K20" i="1"/>
  <c r="N20" i="1" s="1"/>
  <c r="K1057" i="1"/>
  <c r="N1057" i="1" s="1"/>
  <c r="K254" i="1"/>
  <c r="N254" i="1" s="1"/>
  <c r="K373" i="1"/>
  <c r="N373" i="1" s="1"/>
  <c r="K180" i="1"/>
  <c r="N180" i="1" s="1"/>
  <c r="K113" i="1"/>
  <c r="N113" i="1" s="1"/>
  <c r="K21" i="1"/>
  <c r="N21" i="1" s="1"/>
  <c r="K1019" i="1"/>
  <c r="P1019" i="1" s="1"/>
  <c r="P1191" i="1" s="1"/>
  <c r="N525" i="1"/>
  <c r="K762" i="1"/>
  <c r="N762" i="1" s="1"/>
  <c r="K38" i="1"/>
  <c r="N38" i="1" s="1"/>
  <c r="N781" i="1"/>
  <c r="K1157" i="1"/>
  <c r="N1157" i="1" s="1"/>
  <c r="K1049" i="1"/>
  <c r="N1049" i="1" s="1"/>
  <c r="K32" i="1"/>
  <c r="N32" i="1" s="1"/>
  <c r="K738" i="1"/>
  <c r="N738" i="1" s="1"/>
  <c r="K569" i="1"/>
  <c r="N569" i="1" s="1"/>
  <c r="K249" i="1"/>
  <c r="N249" i="1" s="1"/>
  <c r="K374" i="1"/>
  <c r="N374" i="1" s="1"/>
  <c r="K552" i="1"/>
  <c r="N552" i="1" s="1"/>
  <c r="K811" i="1"/>
  <c r="N811" i="1" s="1"/>
  <c r="K503" i="1"/>
  <c r="N503" i="1" s="1"/>
  <c r="K597" i="1"/>
  <c r="N597" i="1" s="1"/>
  <c r="K739" i="1"/>
  <c r="N739" i="1" s="1"/>
  <c r="K924" i="1"/>
  <c r="N924" i="1" s="1"/>
  <c r="N852" i="1"/>
  <c r="K529" i="1"/>
  <c r="N529" i="1" s="1"/>
  <c r="K287" i="1"/>
  <c r="N287" i="1" s="1"/>
  <c r="K879" i="1"/>
  <c r="N879" i="1" s="1"/>
  <c r="K79" i="1"/>
  <c r="N79" i="1" s="1"/>
  <c r="N601" i="1"/>
  <c r="K812" i="1"/>
  <c r="N812" i="1" s="1"/>
  <c r="K128" i="1"/>
  <c r="N128" i="1" s="1"/>
  <c r="K282" i="1"/>
  <c r="N282" i="1" s="1"/>
  <c r="N1065" i="1"/>
  <c r="K709" i="1"/>
  <c r="N709" i="1" s="1"/>
  <c r="K632" i="1"/>
  <c r="N632" i="1" s="1"/>
  <c r="K1114" i="1"/>
  <c r="N1114" i="1" s="1"/>
  <c r="K813" i="1"/>
  <c r="N813" i="1" s="1"/>
  <c r="K756" i="1"/>
  <c r="N756" i="1" s="1"/>
  <c r="K123" i="1"/>
  <c r="N123" i="1" s="1"/>
  <c r="K786" i="1"/>
  <c r="N786" i="1" s="1"/>
  <c r="K949" i="1"/>
  <c r="N949" i="1" s="1"/>
  <c r="N856" i="1"/>
  <c r="K300" i="1"/>
  <c r="N300" i="1" s="1"/>
  <c r="K408" i="1"/>
  <c r="N408" i="1" s="1"/>
  <c r="K814" i="1"/>
  <c r="N814" i="1" s="1"/>
  <c r="K926" i="1"/>
  <c r="N926" i="1" s="1"/>
  <c r="K1038" i="1"/>
  <c r="N1038" i="1" s="1"/>
  <c r="K25" i="1"/>
  <c r="N25" i="1" s="1"/>
  <c r="K1079" i="1"/>
  <c r="N1079" i="1" s="1"/>
  <c r="K666" i="1"/>
  <c r="N666" i="1" s="1"/>
  <c r="K799" i="1"/>
  <c r="N799" i="1" s="1"/>
  <c r="K302" i="1"/>
  <c r="N302" i="1" s="1"/>
  <c r="K610" i="1"/>
  <c r="N610" i="1" s="1"/>
  <c r="K923" i="1"/>
  <c r="N923" i="1" s="1"/>
  <c r="N500" i="1"/>
  <c r="N229" i="1"/>
  <c r="K331" i="1"/>
  <c r="N331" i="1" s="1"/>
  <c r="K674" i="1"/>
  <c r="N674" i="1" s="1"/>
  <c r="K513" i="1"/>
  <c r="N513" i="1" s="1"/>
  <c r="K407" i="1"/>
  <c r="N407" i="1" s="1"/>
  <c r="K689" i="1"/>
  <c r="N689" i="1" s="1"/>
  <c r="K1087" i="1"/>
  <c r="N1087" i="1" s="1"/>
  <c r="K646" i="1"/>
  <c r="N646" i="1" s="1"/>
  <c r="N859" i="1"/>
  <c r="N228" i="1"/>
  <c r="K114" i="1"/>
  <c r="N114" i="1" s="1"/>
  <c r="K699" i="1"/>
  <c r="N699" i="1" s="1"/>
  <c r="K796" i="1"/>
  <c r="N796" i="1" s="1"/>
  <c r="K719" i="1"/>
  <c r="N719" i="1" s="1"/>
  <c r="N1191" i="1" l="1"/>
</calcChain>
</file>

<file path=xl/sharedStrings.xml><?xml version="1.0" encoding="utf-8"?>
<sst xmlns="http://schemas.openxmlformats.org/spreadsheetml/2006/main" count="6187" uniqueCount="2530">
  <si>
    <t>Inventario Inicial</t>
  </si>
  <si>
    <t>Salida</t>
  </si>
  <si>
    <t>Valores RD$</t>
  </si>
  <si>
    <t>Categoria</t>
  </si>
  <si>
    <t>13/12/2023</t>
  </si>
  <si>
    <t>Dispensador de Jabon Liquido</t>
  </si>
  <si>
    <t>Accesorios de baños</t>
  </si>
  <si>
    <t xml:space="preserve">Dispensador de servilleta </t>
  </si>
  <si>
    <t>Dispensador de servilleta 393</t>
  </si>
  <si>
    <t xml:space="preserve">Dispensador de servilleta 545 </t>
  </si>
  <si>
    <t xml:space="preserve">Dispensador de servilleta familia </t>
  </si>
  <si>
    <t>Dispensador papel jumbo, Role</t>
  </si>
  <si>
    <t>Dispensador papel jumbo supply dept</t>
  </si>
  <si>
    <t>Perchero de tres Ganchos</t>
  </si>
  <si>
    <t>Dispensador de Gel en metal</t>
  </si>
  <si>
    <t>Toallero, Olympia</t>
  </si>
  <si>
    <t>Dispensador de papel higienico, Kimberlyn Clarck</t>
  </si>
  <si>
    <t>Tapa de dispensador</t>
  </si>
  <si>
    <t>Cocina</t>
  </si>
  <si>
    <t xml:space="preserve">Cucharas desechables plastifar de 25   und.                              </t>
  </si>
  <si>
    <t>Cuchillos desechables plastifar de 22 und.</t>
  </si>
  <si>
    <t>Juego de cuchillo Mustad</t>
  </si>
  <si>
    <t>Servilletas, paquetes Niveo</t>
  </si>
  <si>
    <t>Tenedores desechables flexi, paquete de 25 unidades</t>
  </si>
  <si>
    <t>Alambre de Abeto 400 pies color blanco</t>
  </si>
  <si>
    <t>Electricidad</t>
  </si>
  <si>
    <t>Alambre de corriente No. 12, 500 Pies negro, Rollos</t>
  </si>
  <si>
    <t>Alambre Estándar No. 3,  200 pies, Rollo</t>
  </si>
  <si>
    <t>Alambre Estándar No. 4, 500 pies, Rollo</t>
  </si>
  <si>
    <t>Alambre Estándar No. 6, Negro, rollo</t>
  </si>
  <si>
    <t>Alambre No. 2, de 100 pie</t>
  </si>
  <si>
    <t>Alambre Topflex V-K 300 pie No. 18</t>
  </si>
  <si>
    <t>Barrilla de tierra, Bronce</t>
  </si>
  <si>
    <t>Base de control, SOCKET</t>
  </si>
  <si>
    <t>Bombillo ELECLUZ</t>
  </si>
  <si>
    <t>Bombillas Lighting International MH- BT</t>
  </si>
  <si>
    <t>Bombillo espiral, Yuxin</t>
  </si>
  <si>
    <t>Bombillo Led, Rudo 15 W</t>
  </si>
  <si>
    <t>Bombillo Let, EZLIGHT de 15W</t>
  </si>
  <si>
    <t>Braker de CDM1-225 L, Delixi</t>
  </si>
  <si>
    <t>Braker de control, HIMEL</t>
  </si>
  <si>
    <t>Braker Poles de 3 - R100 A 125 S</t>
  </si>
  <si>
    <t xml:space="preserve">Braker Sasanin 225 V </t>
  </si>
  <si>
    <t xml:space="preserve">Braker trifacico de 225 Ampere, DELEXI 600 W </t>
  </si>
  <si>
    <t xml:space="preserve">Braker trifacico, customer oriemtal manufactura 125 ampere </t>
  </si>
  <si>
    <t xml:space="preserve">Braker trifacico, SACE TMAX  de 32 Ampere </t>
  </si>
  <si>
    <t xml:space="preserve">Breaker sencillo fino de 15 Ampere, General Electric </t>
  </si>
  <si>
    <t>Breaker de 20, fino</t>
  </si>
  <si>
    <t>Breaker doble de 32 Ampere, Himel, HDB3WN2C32</t>
  </si>
  <si>
    <t>Breaker  doble de 30 AM, General Electric, THQL2130,</t>
  </si>
  <si>
    <t>Breaker Sencillo grueso, General Electric ,THQL120</t>
  </si>
  <si>
    <t>Breaker sencillo de 20 Ampere. Himel HDB3WA1C20</t>
  </si>
  <si>
    <t>Breaker sencillo 16 Ampere. Himel, HDB3WA1C16</t>
  </si>
  <si>
    <t>Estaño</t>
  </si>
  <si>
    <t>Cable de aislado de acero , Pie</t>
  </si>
  <si>
    <t>Caja 2 x4, Craunot</t>
  </si>
  <si>
    <t>Caja de control 400 x 300 x 200 MM, Argos</t>
  </si>
  <si>
    <t>Caja de registro</t>
  </si>
  <si>
    <t>Caja de alambrado de electricidad</t>
  </si>
  <si>
    <t>Conctactores de 32 amperes a 220 TYJ</t>
  </si>
  <si>
    <t>Conduflex de 3/4, manguera plastica, rollo de 200 pies</t>
  </si>
  <si>
    <t xml:space="preserve">Conectore 3/4 Topaz  electric </t>
  </si>
  <si>
    <t>Conectores 220 TYJ</t>
  </si>
  <si>
    <t>Conectores cruvos de 1 pulgada</t>
  </si>
  <si>
    <t>Conectores de 1 Topaz  eclectric</t>
  </si>
  <si>
    <t>Conectores de alambre</t>
  </si>
  <si>
    <t>Contactor de 32 A 220 V</t>
  </si>
  <si>
    <t>Contactore 18 ampere a 220 CNC</t>
  </si>
  <si>
    <t xml:space="preserve">Contactores, himel 150 ampere </t>
  </si>
  <si>
    <t>Control de aire acondicionado universal</t>
  </si>
  <si>
    <t>Extension de 14.5 metro</t>
  </si>
  <si>
    <t>Extension magnetica Truper</t>
  </si>
  <si>
    <t>Filtro de bronce de 4</t>
  </si>
  <si>
    <t>Filtro de bronce de 6</t>
  </si>
  <si>
    <t>Fotocelda Smart Life 50/60 HZ</t>
  </si>
  <si>
    <t>Interrruptor, Levinton</t>
  </si>
  <si>
    <t>Interruptor de 2, Ticino</t>
  </si>
  <si>
    <t>Lampara de color de 100W</t>
  </si>
  <si>
    <t>Luces de control, Piboto</t>
  </si>
  <si>
    <t>28/12/2020</t>
  </si>
  <si>
    <t>Luces Led 100 W, Rudo</t>
  </si>
  <si>
    <t>Luces Led 400 W, Rudo</t>
  </si>
  <si>
    <t>Luces Led 50W a 10W</t>
  </si>
  <si>
    <t>Manguera de nivel 3/8, Truper, rollo de 100 metros</t>
  </si>
  <si>
    <t>Mantenedor de carga 12 V</t>
  </si>
  <si>
    <t>Mantenedor de carga 24 V</t>
  </si>
  <si>
    <t>Monitores de face ( Timer)</t>
  </si>
  <si>
    <t>Monitores de fase Littelisse</t>
  </si>
  <si>
    <t>Piboton para caja de control</t>
  </si>
  <si>
    <t>Plot de bateria, Baterry Terminal, Pares</t>
  </si>
  <si>
    <t>Relay de control, CHNT</t>
  </si>
  <si>
    <t>Relay termico de 25 -40 Ampere</t>
  </si>
  <si>
    <t>Relay termico de 7 -10 Ampere</t>
  </si>
  <si>
    <t>Relay Tosun</t>
  </si>
  <si>
    <t>Riley de control cura CHNT DE 10 UND.</t>
  </si>
  <si>
    <t>Selector de control galaxy</t>
  </si>
  <si>
    <t>Sensor de movimiento, Fulgore</t>
  </si>
  <si>
    <t>Socalos de goma</t>
  </si>
  <si>
    <t>Swicth selector de control , CHNT</t>
  </si>
  <si>
    <t xml:space="preserve">SWicth selector de control , Elite </t>
  </si>
  <si>
    <t>Tapa Interrruptor, Levinton</t>
  </si>
  <si>
    <t>Tapa Toma corriente, Levinton</t>
  </si>
  <si>
    <t>Timbre, round bell</t>
  </si>
  <si>
    <t>Interruptor doble, BTICINO</t>
  </si>
  <si>
    <t xml:space="preserve">Toma corriente, BTICINO </t>
  </si>
  <si>
    <t xml:space="preserve">Toma corriente, LEVITON </t>
  </si>
  <si>
    <t>Transformadores de control Winston 100 vBA</t>
  </si>
  <si>
    <t>Tubo de lampara T8</t>
  </si>
  <si>
    <t>Temporizador, Ginebre</t>
  </si>
  <si>
    <t>Herramientas/Pintura</t>
  </si>
  <si>
    <t>Brocha de 1 Iber</t>
  </si>
  <si>
    <t>Brochas de 3, Iber</t>
  </si>
  <si>
    <t>Brochas de 3, Bufalo</t>
  </si>
  <si>
    <t>25/04/2024</t>
  </si>
  <si>
    <t>Brochas de 4, Colima</t>
  </si>
  <si>
    <t>Porta Rolo, Lancon</t>
  </si>
  <si>
    <t>Rolo Lancon, antigota 9 x 5/16</t>
  </si>
  <si>
    <t>Espatula plastica de 4, Roma</t>
  </si>
  <si>
    <t>Espatulas 10 CM, Atlas</t>
  </si>
  <si>
    <t>Espatulas 8 CM, Atlas</t>
  </si>
  <si>
    <t>Lija de agua de 2000</t>
  </si>
  <si>
    <t>Mortero para recibrimiento, Zika</t>
  </si>
  <si>
    <t>Pintura mate tropical, color verde fresco, cubeta</t>
  </si>
  <si>
    <t>Pintura Popular, Azul 05,Epoxica, Galones</t>
  </si>
  <si>
    <t>Pintura Tropical, Azul 05,Epoxica, Galones</t>
  </si>
  <si>
    <t>Pintura Popular, Crema 51, Epoxica, Galones</t>
  </si>
  <si>
    <t>Pintura Popular, Negro 00, Epoxica, Galones</t>
  </si>
  <si>
    <t>Pintura Satinada Crema 13 B 3 D, Cubeta</t>
  </si>
  <si>
    <t>Pintura Tropical Amarillo Canario, Galones</t>
  </si>
  <si>
    <t>Pintura tropical Satinada, color Arena 74, Cubeta</t>
  </si>
  <si>
    <t>Pintura Tropical, Azul Royal 69, Galones</t>
  </si>
  <si>
    <t>Pintura Tropical, Bronce oscuro No. 19</t>
  </si>
  <si>
    <t>Pintura tropical, color Azul Alba, cubeta</t>
  </si>
  <si>
    <t>Pintura Tropical, Ferrer Galones</t>
  </si>
  <si>
    <t>Recubrimiento de pintura Popular, Epoxiguard</t>
  </si>
  <si>
    <t>Masilla Acrilica Cano, cartucho</t>
  </si>
  <si>
    <t>Barra, Color Oleo, Winson Newton</t>
  </si>
  <si>
    <t>Trementina, Claudett</t>
  </si>
  <si>
    <t xml:space="preserve">Pintura Epoxita, color Ladrillo </t>
  </si>
  <si>
    <t xml:space="preserve">Bata medical desechable </t>
  </si>
  <si>
    <t>Equipos de proteccion y seguridad</t>
  </si>
  <si>
    <t>Casco de seguirdad</t>
  </si>
  <si>
    <t xml:space="preserve">Guantes  de proteccion ECO pares </t>
  </si>
  <si>
    <t>Linda, color mamey</t>
  </si>
  <si>
    <t xml:space="preserve">Cubierta de zapatos American piezas </t>
  </si>
  <si>
    <t>Cubierta de zapatos Blue cross  piezas</t>
  </si>
  <si>
    <t>Cubre Zapatos  Luz med piezas</t>
  </si>
  <si>
    <t>Gorro para cirujanos blue cross und.</t>
  </si>
  <si>
    <t>Gorro para enfermeras azul  und.</t>
  </si>
  <si>
    <t>Guantes Nipro Glove, cajas de 100 und.</t>
  </si>
  <si>
    <t xml:space="preserve">Guantes Gross Med Latex, Cajas Size M </t>
  </si>
  <si>
    <t>Guantes Nitrile Glove, Size S. Caja</t>
  </si>
  <si>
    <t>Guantes Ontex glove L, Cajas de 100 und.</t>
  </si>
  <si>
    <t xml:space="preserve">Guantes Ontex gloves S, Cajas de 100 und. </t>
  </si>
  <si>
    <t>Guantes Quirurgicos L  . Safe Care Cajas</t>
  </si>
  <si>
    <t xml:space="preserve">Guantes Quirurgicos, Size M, Safe Care, Cajas </t>
  </si>
  <si>
    <t>Mascarillas desechables , Safare Care, Caja de 50 unidades</t>
  </si>
  <si>
    <t>Mascarillas desechables , N95, paquetes</t>
  </si>
  <si>
    <t>Gafas quirurgicas und.</t>
  </si>
  <si>
    <t>Ferreteria               Herramientas</t>
  </si>
  <si>
    <t>Abrazadera de 2</t>
  </si>
  <si>
    <t>Abrazadera de 3/4</t>
  </si>
  <si>
    <t>Agarradera de metal 1 1/2</t>
  </si>
  <si>
    <t>Pinzas de liniero, klein Tools,  und.</t>
  </si>
  <si>
    <t>Bolla blanca</t>
  </si>
  <si>
    <t>Candado Yale 110 - 60 (60MM)</t>
  </si>
  <si>
    <t xml:space="preserve">Carpa </t>
  </si>
  <si>
    <t>Cemento blanco fundas de 2 libras</t>
  </si>
  <si>
    <t>Cerradura con Llave Master Safe</t>
  </si>
  <si>
    <t>Cerradura de barra, LootCraft</t>
  </si>
  <si>
    <t>Cierre de puerta areo, Yale</t>
  </si>
  <si>
    <t>Clavo de 4, dulce. Libra</t>
  </si>
  <si>
    <t>Clavo de acero, libra</t>
  </si>
  <si>
    <t>Conector Sillita</t>
  </si>
  <si>
    <t>Contra canasta Ez-Flo</t>
  </si>
  <si>
    <t>Esmeril Fino, cubeta</t>
  </si>
  <si>
    <t>Esmeril Grueso, Cubeta</t>
  </si>
  <si>
    <t>Felpa para Puerta</t>
  </si>
  <si>
    <t xml:space="preserve">Juegos de detornilladores Inc-co,  Cada juego  trae 10 </t>
  </si>
  <si>
    <t xml:space="preserve">Limpiador de contacto Wurth </t>
  </si>
  <si>
    <t>Llave ajustable de 10 MM Truper</t>
  </si>
  <si>
    <t>Llave ajustable de 12 MM Truper</t>
  </si>
  <si>
    <t>Lona reforzada truper 1.5mx2m und.</t>
  </si>
  <si>
    <t xml:space="preserve">Maceta, Master </t>
  </si>
  <si>
    <t>Malla cedaso, rollo</t>
  </si>
  <si>
    <t>Manguera de gas, color rojo metros</t>
  </si>
  <si>
    <t>Martillo trupper</t>
  </si>
  <si>
    <t>Montaje de 3 bolas, Marpac</t>
  </si>
  <si>
    <t>Palometa Blanca</t>
  </si>
  <si>
    <t>Pasador de 5/8 a 1.6 CM</t>
  </si>
  <si>
    <t>Pinsa de presion de 10MM,Pretul</t>
  </si>
  <si>
    <t xml:space="preserve">Polo de baterias, Pretul </t>
  </si>
  <si>
    <t xml:space="preserve">Porta candado </t>
  </si>
  <si>
    <t>Receive Lock 5/8, Diamate</t>
  </si>
  <si>
    <t>Regilete metal</t>
  </si>
  <si>
    <t>Rollo de cinta doble cara 3M</t>
  </si>
  <si>
    <t xml:space="preserve">Segueta Bellota </t>
  </si>
  <si>
    <t>Marco de segueta, Stanley de 12</t>
  </si>
  <si>
    <t>Slip resistente, rollo, 3 M</t>
  </si>
  <si>
    <t>Solser Union 1/4, Refrigeracion</t>
  </si>
  <si>
    <t>Tarugo Azul de 1</t>
  </si>
  <si>
    <t>Tarugo mamey de 1 1/2</t>
  </si>
  <si>
    <t>Tornillo de 2</t>
  </si>
  <si>
    <t xml:space="preserve">Tornillo 3/8 Truper </t>
  </si>
  <si>
    <t>Tornillo separadores 2 MM, truper</t>
  </si>
  <si>
    <t>Tuerca 3/8</t>
  </si>
  <si>
    <t>Tornillo Diablito de 3/4</t>
  </si>
  <si>
    <t>Tornillo Diablito de 1/2</t>
  </si>
  <si>
    <t xml:space="preserve">Aceite Compos Industriales </t>
  </si>
  <si>
    <t>Lubricantes</t>
  </si>
  <si>
    <t>Filtro aire PA 2806 Baldwin</t>
  </si>
  <si>
    <t>Filtro BF 892, Baldwin</t>
  </si>
  <si>
    <t>Filtro BF 970, Baldwin</t>
  </si>
  <si>
    <t>Filtro BT 259, Baldwin</t>
  </si>
  <si>
    <t>Filtro coolant Sakira WG 5706</t>
  </si>
  <si>
    <t>Filtro de Gasoil element - 10</t>
  </si>
  <si>
    <t>Filtro Fleetguard FF211</t>
  </si>
  <si>
    <t>Filtro gasoil Hastings FF 996</t>
  </si>
  <si>
    <t>Filtro Hastings LF 364</t>
  </si>
  <si>
    <t>Filtro PA 1712 (BALDWIN)</t>
  </si>
  <si>
    <t>29/03/2019</t>
  </si>
  <si>
    <t>Filtro Baldwin B99,</t>
  </si>
  <si>
    <t>Filtro Baldwin BT230</t>
  </si>
  <si>
    <t>Filtro Baldwin BF957 D</t>
  </si>
  <si>
    <t>Filtro Baldwin BD 103</t>
  </si>
  <si>
    <t>29/08/2019</t>
  </si>
  <si>
    <t>Filtro FF996  (HASTINGS)</t>
  </si>
  <si>
    <t>Filtro vegetal</t>
  </si>
  <si>
    <t>Repsol Insdutrial C.</t>
  </si>
  <si>
    <t>Suplemento Oil Baradahl No. 1</t>
  </si>
  <si>
    <t>Suplemento Oil Baradahl No. 2</t>
  </si>
  <si>
    <t>Tcfil Max Prp PSL-300</t>
  </si>
  <si>
    <t>Degreaser D4</t>
  </si>
  <si>
    <t>Agua de bateria</t>
  </si>
  <si>
    <t>Cepillo alambre Angelito</t>
  </si>
  <si>
    <t>Mantenimiento      Limpieza</t>
  </si>
  <si>
    <t xml:space="preserve">Cepillo alambre color amarillo </t>
  </si>
  <si>
    <t>Cepillo alambre Fecin</t>
  </si>
  <si>
    <t>Cloro estabilizado, galon de 3 libras</t>
  </si>
  <si>
    <t>Cloro estabilizado, Aqua Klean tabletas</t>
  </si>
  <si>
    <t>Cloro Klinaccion, galon</t>
  </si>
  <si>
    <t>20/09/2024</t>
  </si>
  <si>
    <t>Mota para brillo, #7</t>
  </si>
  <si>
    <t>Ratrillo Rojo de hierro</t>
  </si>
  <si>
    <t>Ratrillo verde de hierro</t>
  </si>
  <si>
    <t>Ace compadre de 30 libra saco.</t>
  </si>
  <si>
    <t>Ambientador AIRWICKI, fragancia vainilla</t>
  </si>
  <si>
    <t>Ambientador Glade, Clean Liner</t>
  </si>
  <si>
    <t>Brillo gordo</t>
  </si>
  <si>
    <t xml:space="preserve">Brillos Extra fuerte, La maquina </t>
  </si>
  <si>
    <t>Brillos fibra Scotch Brite, Verde</t>
  </si>
  <si>
    <t xml:space="preserve">Brillos La maquina, paq.  EL DURO </t>
  </si>
  <si>
    <t>Cepillo de alambre Truper</t>
  </si>
  <si>
    <t>24/07/2024</t>
  </si>
  <si>
    <t>Cepillo Plachita</t>
  </si>
  <si>
    <t>Desinfectante Akoo, Bebe</t>
  </si>
  <si>
    <t>Desinfectante Virkon</t>
  </si>
  <si>
    <t>26/06/2024</t>
  </si>
  <si>
    <t>Escoba Dora</t>
  </si>
  <si>
    <t>Escoba Kika</t>
  </si>
  <si>
    <t>Escoba Sunny</t>
  </si>
  <si>
    <t>Escoba, Samba</t>
  </si>
  <si>
    <t>Fundas negra de 55 Galones</t>
  </si>
  <si>
    <t>Fundas negras, 60 Galones</t>
  </si>
  <si>
    <t>Fundasnegras, 65 Galones</t>
  </si>
  <si>
    <t>Jabon de cuaba liquido, Jarabacoa multiuso</t>
  </si>
  <si>
    <t>Jabon Tork</t>
  </si>
  <si>
    <t>Limpiador de ceramica, Mude, Decaline</t>
  </si>
  <si>
    <t>Lysol Clean galon</t>
  </si>
  <si>
    <t>Manguera Kelos 5/8,  3/4, 100 Pie</t>
  </si>
  <si>
    <t>Manguera Kelos 5/8,  3/4, 50 Pie</t>
  </si>
  <si>
    <t>Mopa abrillantadora</t>
  </si>
  <si>
    <t>Papel de Baño BLIC</t>
  </si>
  <si>
    <t>Papel de Baño Natura</t>
  </si>
  <si>
    <t>Papel Toalla</t>
  </si>
  <si>
    <t xml:space="preserve">Piedra perfumada Inodoro, Arom, Frutas silvestre </t>
  </si>
  <si>
    <t>Piedra perfumada Inodoro, Arom, Jardin Lavanda</t>
  </si>
  <si>
    <t>Piedra perfumada Inodoro, Arom, Pradera Popurri</t>
  </si>
  <si>
    <t>Piedra perfumada Inodoro, Arom, Vainilla</t>
  </si>
  <si>
    <t xml:space="preserve">Ratrillo de hierro, Truper con sus palos </t>
  </si>
  <si>
    <t>Ratrillo mamey, plasticos</t>
  </si>
  <si>
    <t>Recogedor de agua</t>
  </si>
  <si>
    <t xml:space="preserve">Saca agua, Brava pequeños </t>
  </si>
  <si>
    <t xml:space="preserve">Suape kika # 32 </t>
  </si>
  <si>
    <t>Suape linda # 32</t>
  </si>
  <si>
    <t>Suape mop # 32</t>
  </si>
  <si>
    <t>Suape Rayon #36</t>
  </si>
  <si>
    <t xml:space="preserve">Palo de escoba amarillo </t>
  </si>
  <si>
    <t xml:space="preserve">Palo escoba kika </t>
  </si>
  <si>
    <t>Palo para mapo</t>
  </si>
  <si>
    <t>Palo rastrillo bellota</t>
  </si>
  <si>
    <t xml:space="preserve">Palo rastrillo truper </t>
  </si>
  <si>
    <t xml:space="preserve">Palo recogedor de agua  </t>
  </si>
  <si>
    <t>Palos gris con amarillos</t>
  </si>
  <si>
    <t>Safacon de 240 Litros Negro,con rueda Duralon</t>
  </si>
  <si>
    <t xml:space="preserve">Safacon de 240 Litros Negro </t>
  </si>
  <si>
    <t>Safacon de 100 Litros negro, Duralon</t>
  </si>
  <si>
    <t>Materiales de oficina</t>
  </si>
  <si>
    <t xml:space="preserve">Bandas de gomas rubbers bands en cajitas (Woker) </t>
  </si>
  <si>
    <t>18/10/2022</t>
  </si>
  <si>
    <t>Bandas de gomas velez en cajitas</t>
  </si>
  <si>
    <t>Barra de silicon caliente gruesa pointer und.</t>
  </si>
  <si>
    <t>17/12/2021</t>
  </si>
  <si>
    <t xml:space="preserve">Binder clip billetero de 51 mm, Printek, Caja </t>
  </si>
  <si>
    <t>Binder clips Dl DINGLI, 19MM</t>
  </si>
  <si>
    <t>Binder clips Dl DINGLI, 25 MM</t>
  </si>
  <si>
    <t>Binder clips Dl DINGLI, 32 MM</t>
  </si>
  <si>
    <t>Boligrafo corona negro und.</t>
  </si>
  <si>
    <t>Boligrafo Eco negro und.</t>
  </si>
  <si>
    <t>Boligrafo Eco rojo  und.</t>
  </si>
  <si>
    <t xml:space="preserve">Boligrafo Talbot Azul, Caja </t>
  </si>
  <si>
    <t>Boligrafo Beifa Azul, caja</t>
  </si>
  <si>
    <t>Calculadore casio AX-12b</t>
  </si>
  <si>
    <t>Carpeta para archivar blanca 3 "</t>
  </si>
  <si>
    <t>Carpeta para archivar blanca 5 ", 3 D</t>
  </si>
  <si>
    <t xml:space="preserve">CD normal </t>
  </si>
  <si>
    <t xml:space="preserve">Chincheta talbot plastica de 100 und 19 cajas </t>
  </si>
  <si>
    <t>Chincheta, Velmer, caja</t>
  </si>
  <si>
    <t>Chinchetas studmark 9mm, Cajas</t>
  </si>
  <si>
    <t>Cinta de maquinas de escribir Nakajima WTP 150, und.</t>
  </si>
  <si>
    <t>Cinta para maquina de oficina Ribbons</t>
  </si>
  <si>
    <t>Cinta Adhesiva 3/4 x 36 Highland</t>
  </si>
  <si>
    <t>Clip billetero 25mm, Talbot</t>
  </si>
  <si>
    <t xml:space="preserve">Clip billetero 41 MM,  Pointer </t>
  </si>
  <si>
    <t>Clips Billetero 51mm, Artesco</t>
  </si>
  <si>
    <t>Clips mariposa No. 1 Studmark</t>
  </si>
  <si>
    <t>Clips mariposa, Paper Clamp No. 1</t>
  </si>
  <si>
    <t>Clips mariposa, Paper Clamp No. 2</t>
  </si>
  <si>
    <t>Corrector liquido, Stabilo</t>
  </si>
  <si>
    <t>Dispensador de cinta pegante Talbot</t>
  </si>
  <si>
    <t>Engrapadora de pinza metalica de 20 hojas, Studmark</t>
  </si>
  <si>
    <t>Espiral para encuadernacion,  Velmer, 10 mm und.</t>
  </si>
  <si>
    <t xml:space="preserve">Espiral para encuadernacion 12  mm und. </t>
  </si>
  <si>
    <t xml:space="preserve">Espiral  para encuadernacion 16 mm und. </t>
  </si>
  <si>
    <t xml:space="preserve">Espiral para encuadernacion,  Velmer, 38 mm </t>
  </si>
  <si>
    <t>Espiral para encuadernacion,  Velmer, 51mm, und.</t>
  </si>
  <si>
    <t>Espiral para encuadernacion,  Velmer, 8mm, und.</t>
  </si>
  <si>
    <t>Espiral No. 11 rings lette size por und.</t>
  </si>
  <si>
    <t xml:space="preserve">Espiral para encuadernacion,  Velmer, 14 mm </t>
  </si>
  <si>
    <t>Espiral No. 19 rings lette size por und.</t>
  </si>
  <si>
    <t xml:space="preserve">Espiral No. 32 mm und </t>
  </si>
  <si>
    <t xml:space="preserve">Felpa sarasa und. </t>
  </si>
  <si>
    <t>Fieltro mann und.</t>
  </si>
  <si>
    <t>Sobre manila Amarillo 8 1/2 x 11</t>
  </si>
  <si>
    <t>Sobre manila Amarillo 8 1/2 x 13</t>
  </si>
  <si>
    <t>Folders Rojo con bolsillo</t>
  </si>
  <si>
    <t>Gancho Para archivar , Talbot 70 MM, Caja</t>
  </si>
  <si>
    <t>Grapadora Bostitch</t>
  </si>
  <si>
    <t xml:space="preserve">Grapadora Swingline </t>
  </si>
  <si>
    <t>Infrared Themometer</t>
  </si>
  <si>
    <t>Jaladore marpec</t>
  </si>
  <si>
    <t>Juego geometrico ponter juego.</t>
  </si>
  <si>
    <t xml:space="preserve">Kores cinta para maquina de escribir </t>
  </si>
  <si>
    <t>Label para pendaflex, Kleer Fax</t>
  </si>
  <si>
    <t>Labels &amp; Ink Jet Labels, White shipping labels 2 x 4</t>
  </si>
  <si>
    <t xml:space="preserve">Letter size, 2 x 4, Labels Herma </t>
  </si>
  <si>
    <t>Etiquetas Laser, 2 3/4 x 2 3/4x  7x7 CM</t>
  </si>
  <si>
    <t xml:space="preserve">Labels &amp; Ink Jet Labels, CD/ DVD </t>
  </si>
  <si>
    <t>Laminating Pouch Film 229 x 292MM</t>
  </si>
  <si>
    <t>Lamiting  Film, 229mm x 292mm, Velmer</t>
  </si>
  <si>
    <t>Laser Ink Jet labels, 1 x 25/8, Maco Hojas</t>
  </si>
  <si>
    <t xml:space="preserve">Libreta de Raya 5 X 8 </t>
  </si>
  <si>
    <t>Libro Record 500 paginas</t>
  </si>
  <si>
    <t>Liquid Paper, Paper Mate</t>
  </si>
  <si>
    <t>Marcadores de pizarra negro und.</t>
  </si>
  <si>
    <t>Marcadores permanentes sislo negros und.</t>
  </si>
  <si>
    <t>Nota adhesiva  solute ch 2x3 amarillo und.</t>
  </si>
  <si>
    <t>Nota adhesiva office 3x3 amarillo  und.</t>
  </si>
  <si>
    <t xml:space="preserve">Nota adhesivas  2 x 3 Printex stickey, amarillo </t>
  </si>
  <si>
    <t>Notas  Adhesiva talbot  3x2 color amarillo luminico und.</t>
  </si>
  <si>
    <t>Notas  Adhsiva 3x3 und. Colores</t>
  </si>
  <si>
    <t>Notas adhesivas 3x2  talbot color naranja neon und.</t>
  </si>
  <si>
    <t>Notas adhesivas 3x2 talbot color Azul neon und.</t>
  </si>
  <si>
    <t>Notas adhesivas 3x2 talbot color limoncillo neon und.</t>
  </si>
  <si>
    <t>Notas adhesivas 3x2 talbot color rosado neon und.</t>
  </si>
  <si>
    <t>Notas adhesivas 3x2 talbot color verde  neon und.</t>
  </si>
  <si>
    <t>Notas adhesivas 50x76mm amarillo, Milan,  und.</t>
  </si>
  <si>
    <t>Papel Carbon, Shunchuan color negro</t>
  </si>
  <si>
    <t>Papel carbon, Pointer, color azul</t>
  </si>
  <si>
    <t>Papel de hilo 8.5x11 paq.</t>
  </si>
  <si>
    <t>Papel de lamina 8.5 x 11, Hewlett Packard</t>
  </si>
  <si>
    <t>Paper Clips 33MM, Printek</t>
  </si>
  <si>
    <t>Paper clips 50MM, Printek</t>
  </si>
  <si>
    <t>Peganmento, Goma blanca, Aztec</t>
  </si>
  <si>
    <t>Pelicula de diapositiva para copiadoras 81/2 X 11, 3M, Unidades</t>
  </si>
  <si>
    <t>Pendaflex Ever Print Classifiacation, Letter Size</t>
  </si>
  <si>
    <t>Pendaflex und.</t>
  </si>
  <si>
    <t>Perforadora de dos hoyos,  Printek</t>
  </si>
  <si>
    <t>Plastico aderente, plastic wrap 12 x 2000 Rollo</t>
  </si>
  <si>
    <t>POP-UPINDEX  UND.</t>
  </si>
  <si>
    <t>Porta cinta 3mm</t>
  </si>
  <si>
    <t>Porta Lapiz, Redondo negro</t>
  </si>
  <si>
    <t xml:space="preserve">Reglas pointer </t>
  </si>
  <si>
    <t>Removedor de grapas, Bostitch</t>
  </si>
  <si>
    <t>Resaltadores pelika mamey und.</t>
  </si>
  <si>
    <t>Resaltadores pelika verde und.</t>
  </si>
  <si>
    <t>Resaltadores printek mamey und.</t>
  </si>
  <si>
    <t>Resaltadores printek negro  und.</t>
  </si>
  <si>
    <t>Resaltadores printek rosado und.</t>
  </si>
  <si>
    <t>Resma de papel 8 1/2 x 11, color crema</t>
  </si>
  <si>
    <t>Resma de papel 8 1/2 x14</t>
  </si>
  <si>
    <t xml:space="preserve">Resma de papel Info Print cajas de 10 resma </t>
  </si>
  <si>
    <t>Resma de papel Navegator 8 1/2 x 14</t>
  </si>
  <si>
    <t>Resma de papel Premiun 8 1/2 x 14</t>
  </si>
  <si>
    <t>Resma de papel timbrado, Institucional, Resma</t>
  </si>
  <si>
    <t>26/04/2024</t>
  </si>
  <si>
    <t>Rollo de maquina sumadora, und.</t>
  </si>
  <si>
    <t>Saca grapa, Homensing</t>
  </si>
  <si>
    <t>Sacagrapa, Nustar</t>
  </si>
  <si>
    <t>Sacapuntas con base und.</t>
  </si>
  <si>
    <t>Sacapuntas de hierro und.</t>
  </si>
  <si>
    <t>Sacapuntas sencillo und.</t>
  </si>
  <si>
    <t>Silicon liquido, Facela 500 ML</t>
  </si>
  <si>
    <t>Silicon liquido, Pointer 500 ML</t>
  </si>
  <si>
    <t>Silicon liquido, Pointer 60 ML</t>
  </si>
  <si>
    <t>23/02/2024</t>
  </si>
  <si>
    <t xml:space="preserve">Sobre blanco peq. Unidades </t>
  </si>
  <si>
    <t>Sobre de manila blanco und.</t>
  </si>
  <si>
    <t>Sobre Manila, Timbrado blanco und.</t>
  </si>
  <si>
    <t>Solutech, Grapas</t>
  </si>
  <si>
    <t>Talonario de Requisicion de Materiales</t>
  </si>
  <si>
    <t>Tape Dueto Abro, color Gris</t>
  </si>
  <si>
    <t>Tijeras printek und.</t>
  </si>
  <si>
    <t>Tinta Giraplica color azul, Pelican</t>
  </si>
  <si>
    <t>Pegamento UHU, und.</t>
  </si>
  <si>
    <t>26/06/204</t>
  </si>
  <si>
    <t>Porta Lapiz, cuadrado negro</t>
  </si>
  <si>
    <t>Photo Paper 8.5 x 11, Fotofinish</t>
  </si>
  <si>
    <t>Papel fotografico, Glossy Ink Jet Paper, 8.5 x 11 , Hojas</t>
  </si>
  <si>
    <t>Label CD/DVD, 8.5 x 11, Key Media, hojas</t>
  </si>
  <si>
    <t>Banquetas plastica, color azul</t>
  </si>
  <si>
    <t>Plasticos</t>
  </si>
  <si>
    <t>Botellones de agua Planeta Azul de polibicarbonato</t>
  </si>
  <si>
    <t>Plomeria</t>
  </si>
  <si>
    <t>17/12/2018</t>
  </si>
  <si>
    <t>Adaptador Macho de 1</t>
  </si>
  <si>
    <t>Adaptador Macho de 2</t>
  </si>
  <si>
    <t>Adaptador Macho de 3/4</t>
  </si>
  <si>
    <t>Adaptadores Hembra 3/4</t>
  </si>
  <si>
    <t>Adaptador hembra de 1</t>
  </si>
  <si>
    <t>Adaptador hembra de 1 1/2</t>
  </si>
  <si>
    <t>Adaptador hembra de 2</t>
  </si>
  <si>
    <t>Union Universal de 1/2</t>
  </si>
  <si>
    <t xml:space="preserve">Union Universal de 1 </t>
  </si>
  <si>
    <t>Union  Universal de 2</t>
  </si>
  <si>
    <t>Cera de inodoro</t>
  </si>
  <si>
    <t>Codo de 3 PVC</t>
  </si>
  <si>
    <t>Copli de  3/4</t>
  </si>
  <si>
    <t>Cubrefaldo de ducha</t>
  </si>
  <si>
    <t>Detapador de tuberia</t>
  </si>
  <si>
    <t>Juego de cifon Cocina</t>
  </si>
  <si>
    <t>Juego de valvula de entrada</t>
  </si>
  <si>
    <t>Junta Dreicer de 6</t>
  </si>
  <si>
    <t>Junta Dreise de 3</t>
  </si>
  <si>
    <t>Llave de bola 3 LD Taiwan</t>
  </si>
  <si>
    <t xml:space="preserve">Llave de chorro PVC    </t>
  </si>
  <si>
    <t>Llave de ducha PVC</t>
  </si>
  <si>
    <t>Llave de paso de 1/2</t>
  </si>
  <si>
    <t>Llave de paso de 3</t>
  </si>
  <si>
    <t>Llave de paso de 3/4</t>
  </si>
  <si>
    <t>Llave de paso PVC de 1</t>
  </si>
  <si>
    <t>Llave de paso PVC de 1 1/2</t>
  </si>
  <si>
    <t>Llave para inodoro de presion ZURN</t>
  </si>
  <si>
    <t>Llave sencilla lavamanos, Aquitiva</t>
  </si>
  <si>
    <t>Mezcladora para lavamanos Smart Life</t>
  </si>
  <si>
    <t>Monomano para lavamanos, Lukan</t>
  </si>
  <si>
    <t>Perita</t>
  </si>
  <si>
    <t>Pistola de Pintar, Truper</t>
  </si>
  <si>
    <t>Wet Dry Cemento PVC para tubo, 32 ONZ Lanco</t>
  </si>
  <si>
    <t>Regulador de inodoro</t>
  </si>
  <si>
    <t>Resumidero cuadrado 4x4</t>
  </si>
  <si>
    <t>Shower Hand, Universal Shower</t>
  </si>
  <si>
    <t xml:space="preserve">T de 3 </t>
  </si>
  <si>
    <t xml:space="preserve">T de drenaje de 4 </t>
  </si>
  <si>
    <t>T de manguera 3/4</t>
  </si>
  <si>
    <t>Tapa de inodoro grande, INTER</t>
  </si>
  <si>
    <t>Tapa de inodoro grande, pequeña</t>
  </si>
  <si>
    <t>Tapa de inodoro IBER</t>
  </si>
  <si>
    <t>Tapones de lavamano</t>
  </si>
  <si>
    <t>Tapones hembra de 1 1/2</t>
  </si>
  <si>
    <t>Tapones hembra de 1.</t>
  </si>
  <si>
    <t>Tapones hembra de 1/2</t>
  </si>
  <si>
    <t>Tapones hembra de 3/4</t>
  </si>
  <si>
    <t>Tubo de drenaje de 6</t>
  </si>
  <si>
    <t>Union de 1</t>
  </si>
  <si>
    <t>Union Dreser Fresser 1</t>
  </si>
  <si>
    <t>Union Dreser Fresser de 1 1/2</t>
  </si>
  <si>
    <t>Union Dreser Fresser de 1/2</t>
  </si>
  <si>
    <t xml:space="preserve">Union Dreser Fresser de 3/4 </t>
  </si>
  <si>
    <t xml:space="preserve">Union Universal de 1  </t>
  </si>
  <si>
    <t>Union Universal de 2</t>
  </si>
  <si>
    <t xml:space="preserve">Union Universal de 3/4 </t>
  </si>
  <si>
    <t>Terminal macho, metal</t>
  </si>
  <si>
    <t>Teflon 3/4 x 15 mts</t>
  </si>
  <si>
    <t>Clan o Abrazadora de 3</t>
  </si>
  <si>
    <t>Clan o Abrazadora de 6</t>
  </si>
  <si>
    <t>Señalizacion</t>
  </si>
  <si>
    <t>Señalizacion roja</t>
  </si>
  <si>
    <t>Cinta de Precaucion de 100 Metros</t>
  </si>
  <si>
    <t>Señalizacion, color amarillo</t>
  </si>
  <si>
    <t>Suministro de Tecnologia</t>
  </si>
  <si>
    <t>DVD Maxell  und.</t>
  </si>
  <si>
    <t>Mouse Pad</t>
  </si>
  <si>
    <t>Toner LaserJet Q2612A</t>
  </si>
  <si>
    <t>Toner Queen LaserJet C7115A</t>
  </si>
  <si>
    <t xml:space="preserve">Toner LaserJet HP CF230A </t>
  </si>
  <si>
    <t>Toner LaserJet HP W2020A, 414 A</t>
  </si>
  <si>
    <t xml:space="preserve">Toner LaserJet Q5949A </t>
  </si>
  <si>
    <t xml:space="preserve">Thoner Laser Jet CE5005A </t>
  </si>
  <si>
    <t>Toner Cartridge GPR 54</t>
  </si>
  <si>
    <t>Thoner Laser Jet CE5005A Queen</t>
  </si>
  <si>
    <t>Toner Cartridge GPR-22</t>
  </si>
  <si>
    <t xml:space="preserve">Thoner Katun Perfomace </t>
  </si>
  <si>
    <t>Toner Laser Jet Queen Q5949A</t>
  </si>
  <si>
    <t>Toner Epson 664 Amarilla</t>
  </si>
  <si>
    <t>Toner Epson 664 Cian</t>
  </si>
  <si>
    <t>Toner Epson 664 Magenta</t>
  </si>
  <si>
    <t>Rauter</t>
  </si>
  <si>
    <t>Tapa de jacka nexxt und.</t>
  </si>
  <si>
    <t xml:space="preserve">Bata Medica M </t>
  </si>
  <si>
    <t>Uniforme</t>
  </si>
  <si>
    <t>Bata Medica XL</t>
  </si>
  <si>
    <t xml:space="preserve">Bata medica L Azul </t>
  </si>
  <si>
    <t>Bata Medica,  Blanca con Azul</t>
  </si>
  <si>
    <t>Conjunto de medico Azul XL</t>
  </si>
  <si>
    <t>Traje bio-degradable und.</t>
  </si>
  <si>
    <t>Uniforme pantalon M color verde y azul</t>
  </si>
  <si>
    <t>Toner Cartridge 6R914</t>
  </si>
  <si>
    <t>************OBSERVACIÓN**********</t>
  </si>
  <si>
    <t>REALIZADO POR :</t>
  </si>
  <si>
    <t>AN0001</t>
  </si>
  <si>
    <t>AN0002</t>
  </si>
  <si>
    <t>AN0003</t>
  </si>
  <si>
    <t>AN0004</t>
  </si>
  <si>
    <t>AN0005</t>
  </si>
  <si>
    <t>AN0006</t>
  </si>
  <si>
    <t>AN0007</t>
  </si>
  <si>
    <t>AN0008</t>
  </si>
  <si>
    <t>AN0009</t>
  </si>
  <si>
    <t>AN0010</t>
  </si>
  <si>
    <t>AN0011</t>
  </si>
  <si>
    <t>AN0012</t>
  </si>
  <si>
    <t>AN0013</t>
  </si>
  <si>
    <t>AN0014</t>
  </si>
  <si>
    <t>AN0015</t>
  </si>
  <si>
    <t>AN0016</t>
  </si>
  <si>
    <t>AN0017</t>
  </si>
  <si>
    <t>AN0018</t>
  </si>
  <si>
    <t>AN0019</t>
  </si>
  <si>
    <t>AN0020</t>
  </si>
  <si>
    <t>AN0021</t>
  </si>
  <si>
    <t>AN0022</t>
  </si>
  <si>
    <t>AN0023</t>
  </si>
  <si>
    <t>AN0024</t>
  </si>
  <si>
    <t>AN0025</t>
  </si>
  <si>
    <t>AN0026</t>
  </si>
  <si>
    <t>AN0027</t>
  </si>
  <si>
    <t>AN0028</t>
  </si>
  <si>
    <t>AN0029</t>
  </si>
  <si>
    <t>AN0030</t>
  </si>
  <si>
    <t>AN0031</t>
  </si>
  <si>
    <t>AN0032</t>
  </si>
  <si>
    <t>AN0033</t>
  </si>
  <si>
    <t>AN0034</t>
  </si>
  <si>
    <t>AN0035</t>
  </si>
  <si>
    <t>AN0036</t>
  </si>
  <si>
    <t>AN0037</t>
  </si>
  <si>
    <t>AN0038</t>
  </si>
  <si>
    <t>AN0039</t>
  </si>
  <si>
    <t>AN0040</t>
  </si>
  <si>
    <t>AN0041</t>
  </si>
  <si>
    <t>AN0042</t>
  </si>
  <si>
    <t>AN0043</t>
  </si>
  <si>
    <t>AN0044</t>
  </si>
  <si>
    <t>AN0045</t>
  </si>
  <si>
    <t>AN0046</t>
  </si>
  <si>
    <t>AN0047</t>
  </si>
  <si>
    <t>AN0048</t>
  </si>
  <si>
    <t>AN0049</t>
  </si>
  <si>
    <t>AN0050</t>
  </si>
  <si>
    <t>AN0051</t>
  </si>
  <si>
    <t>AN0052</t>
  </si>
  <si>
    <t>AN0053</t>
  </si>
  <si>
    <t>AN0054</t>
  </si>
  <si>
    <t>AN0055</t>
  </si>
  <si>
    <t>AN0056</t>
  </si>
  <si>
    <t>AN0057</t>
  </si>
  <si>
    <t>AN0058</t>
  </si>
  <si>
    <t>AN0059</t>
  </si>
  <si>
    <t>AN0060</t>
  </si>
  <si>
    <t>AN0061</t>
  </si>
  <si>
    <t>AN0062</t>
  </si>
  <si>
    <t>AN0063</t>
  </si>
  <si>
    <t>AN0064</t>
  </si>
  <si>
    <t>AN0065</t>
  </si>
  <si>
    <t>AN0066</t>
  </si>
  <si>
    <t>AN0067</t>
  </si>
  <si>
    <t>AN0068</t>
  </si>
  <si>
    <t>AN0069</t>
  </si>
  <si>
    <t>AN0070</t>
  </si>
  <si>
    <t>AN0071</t>
  </si>
  <si>
    <t>AN0072</t>
  </si>
  <si>
    <t>AN0073</t>
  </si>
  <si>
    <t>AN0074</t>
  </si>
  <si>
    <t>AN0075</t>
  </si>
  <si>
    <t>AN0076</t>
  </si>
  <si>
    <t>AN0077</t>
  </si>
  <si>
    <t>AN0078</t>
  </si>
  <si>
    <t>AN0079</t>
  </si>
  <si>
    <t>AN0080</t>
  </si>
  <si>
    <t>AN0081</t>
  </si>
  <si>
    <t>AN0082</t>
  </si>
  <si>
    <t>AN0083</t>
  </si>
  <si>
    <t>AN0084</t>
  </si>
  <si>
    <t>AN0085</t>
  </si>
  <si>
    <t>AN0086</t>
  </si>
  <si>
    <t>AN0087</t>
  </si>
  <si>
    <t>AN0088</t>
  </si>
  <si>
    <t>AN0089</t>
  </si>
  <si>
    <t>AN0090</t>
  </si>
  <si>
    <t>AN0091</t>
  </si>
  <si>
    <t>AN0092</t>
  </si>
  <si>
    <t>AN0093</t>
  </si>
  <si>
    <t>AN0094</t>
  </si>
  <si>
    <t>AN0095</t>
  </si>
  <si>
    <t>AN0096</t>
  </si>
  <si>
    <t>AN0097</t>
  </si>
  <si>
    <t>AN0098</t>
  </si>
  <si>
    <t>AN0099</t>
  </si>
  <si>
    <t>AN0100</t>
  </si>
  <si>
    <t>AN0101</t>
  </si>
  <si>
    <t>AN0102</t>
  </si>
  <si>
    <t>AN0103</t>
  </si>
  <si>
    <t>AN0104</t>
  </si>
  <si>
    <t>AN0105</t>
  </si>
  <si>
    <t>AN0106</t>
  </si>
  <si>
    <t>AN0107</t>
  </si>
  <si>
    <t>AN0108</t>
  </si>
  <si>
    <t>AN0109</t>
  </si>
  <si>
    <t>AN0110</t>
  </si>
  <si>
    <t>AN0111</t>
  </si>
  <si>
    <t>AN0112</t>
  </si>
  <si>
    <t>AN0113</t>
  </si>
  <si>
    <t>AN0114</t>
  </si>
  <si>
    <t>AN0115</t>
  </si>
  <si>
    <t>AN0116</t>
  </si>
  <si>
    <t>AN0117</t>
  </si>
  <si>
    <t>AN0118</t>
  </si>
  <si>
    <t>AN0119</t>
  </si>
  <si>
    <t>AN0120</t>
  </si>
  <si>
    <t>AN0121</t>
  </si>
  <si>
    <t>AN0122</t>
  </si>
  <si>
    <t>AN0123</t>
  </si>
  <si>
    <t>AN0124</t>
  </si>
  <si>
    <t>AN0125</t>
  </si>
  <si>
    <t>AN0126</t>
  </si>
  <si>
    <t>AN0127</t>
  </si>
  <si>
    <t>AN0128</t>
  </si>
  <si>
    <t>AN0129</t>
  </si>
  <si>
    <t>AN0130</t>
  </si>
  <si>
    <t>AN0131</t>
  </si>
  <si>
    <t>AN0132</t>
  </si>
  <si>
    <t>AN0133</t>
  </si>
  <si>
    <t>AN0134</t>
  </si>
  <si>
    <t>AN0135</t>
  </si>
  <si>
    <t>AN0136</t>
  </si>
  <si>
    <t>AN0137</t>
  </si>
  <si>
    <t>AN0138</t>
  </si>
  <si>
    <t>AN0139</t>
  </si>
  <si>
    <t>AN0140</t>
  </si>
  <si>
    <t>AN0141</t>
  </si>
  <si>
    <t>AN0142</t>
  </si>
  <si>
    <t>AN0143</t>
  </si>
  <si>
    <t>AN0144</t>
  </si>
  <si>
    <t>AN0145</t>
  </si>
  <si>
    <t>AN0146</t>
  </si>
  <si>
    <t>AN0147</t>
  </si>
  <si>
    <t>AN0148</t>
  </si>
  <si>
    <t>AN0149</t>
  </si>
  <si>
    <t>AN0150</t>
  </si>
  <si>
    <t>AN0151</t>
  </si>
  <si>
    <t>AN0152</t>
  </si>
  <si>
    <t>AN0153</t>
  </si>
  <si>
    <t>AN0154</t>
  </si>
  <si>
    <t>AN0155</t>
  </si>
  <si>
    <t>AN0156</t>
  </si>
  <si>
    <t>AN0157</t>
  </si>
  <si>
    <t>AN0158</t>
  </si>
  <si>
    <t>AN0159</t>
  </si>
  <si>
    <t>AN0160</t>
  </si>
  <si>
    <t>AN0161</t>
  </si>
  <si>
    <t>AN0162</t>
  </si>
  <si>
    <t>AN0163</t>
  </si>
  <si>
    <t>AN0164</t>
  </si>
  <si>
    <t>AN0165</t>
  </si>
  <si>
    <t>AN0166</t>
  </si>
  <si>
    <t>AN0167</t>
  </si>
  <si>
    <t>AN0168</t>
  </si>
  <si>
    <t>AN0169</t>
  </si>
  <si>
    <t>AN0170</t>
  </si>
  <si>
    <t>AN0171</t>
  </si>
  <si>
    <t>AN0172</t>
  </si>
  <si>
    <t>AN0173</t>
  </si>
  <si>
    <t>AN0174</t>
  </si>
  <si>
    <t>AN0175</t>
  </si>
  <si>
    <t>AN0176</t>
  </si>
  <si>
    <t>AN0177</t>
  </si>
  <si>
    <t>AN0178</t>
  </si>
  <si>
    <t>AN0179</t>
  </si>
  <si>
    <t>AN0180</t>
  </si>
  <si>
    <t>AN0181</t>
  </si>
  <si>
    <t>AN0182</t>
  </si>
  <si>
    <t>AN0184</t>
  </si>
  <si>
    <t>AN0185</t>
  </si>
  <si>
    <t>AN0186</t>
  </si>
  <si>
    <t>AN0187</t>
  </si>
  <si>
    <t>AN0188</t>
  </si>
  <si>
    <t>AN0189</t>
  </si>
  <si>
    <t>AN0190</t>
  </si>
  <si>
    <t>AN0191</t>
  </si>
  <si>
    <t>AN0192</t>
  </si>
  <si>
    <t>AN0193</t>
  </si>
  <si>
    <t>AN0194</t>
  </si>
  <si>
    <t>AN0195</t>
  </si>
  <si>
    <t>AN0196</t>
  </si>
  <si>
    <t>AN0197</t>
  </si>
  <si>
    <t>AN0198</t>
  </si>
  <si>
    <t>AN0199</t>
  </si>
  <si>
    <t>AN0200</t>
  </si>
  <si>
    <t>AN0201</t>
  </si>
  <si>
    <t>AN0202</t>
  </si>
  <si>
    <t>AN0203</t>
  </si>
  <si>
    <t>AN0204</t>
  </si>
  <si>
    <t>AN0205</t>
  </si>
  <si>
    <t>AN0206</t>
  </si>
  <si>
    <t>AN0207</t>
  </si>
  <si>
    <t>AN0208</t>
  </si>
  <si>
    <t>AN0210</t>
  </si>
  <si>
    <t>AN0211</t>
  </si>
  <si>
    <t>AN0212</t>
  </si>
  <si>
    <t>AN0213</t>
  </si>
  <si>
    <t>AN0214</t>
  </si>
  <si>
    <t>AN0215</t>
  </si>
  <si>
    <t>AN0216</t>
  </si>
  <si>
    <t>AN0217</t>
  </si>
  <si>
    <t>AN0218</t>
  </si>
  <si>
    <t>AN0219</t>
  </si>
  <si>
    <t>AN0220</t>
  </si>
  <si>
    <t>AN0221</t>
  </si>
  <si>
    <t>AN0222</t>
  </si>
  <si>
    <t>AN0223</t>
  </si>
  <si>
    <t>AN0224</t>
  </si>
  <si>
    <t>AN0225</t>
  </si>
  <si>
    <t>AN0226</t>
  </si>
  <si>
    <t>AN0227</t>
  </si>
  <si>
    <t>AN0228</t>
  </si>
  <si>
    <t>AN0229</t>
  </si>
  <si>
    <t>AN0230</t>
  </si>
  <si>
    <t>AN0231</t>
  </si>
  <si>
    <t>AN0232</t>
  </si>
  <si>
    <t>AN0233</t>
  </si>
  <si>
    <t>AN0234</t>
  </si>
  <si>
    <t>AN0235</t>
  </si>
  <si>
    <t>AN0236</t>
  </si>
  <si>
    <t>AN0237</t>
  </si>
  <si>
    <t>AN0238</t>
  </si>
  <si>
    <t>AN0239</t>
  </si>
  <si>
    <t>AN0240</t>
  </si>
  <si>
    <t>AN0241</t>
  </si>
  <si>
    <t>AN0242</t>
  </si>
  <si>
    <t>AN0243</t>
  </si>
  <si>
    <t>AN0244</t>
  </si>
  <si>
    <t>AN0245</t>
  </si>
  <si>
    <t>AN0246</t>
  </si>
  <si>
    <t>AN0247</t>
  </si>
  <si>
    <t>AN0248</t>
  </si>
  <si>
    <t>AN0250</t>
  </si>
  <si>
    <t>AN0251</t>
  </si>
  <si>
    <t>AN0252</t>
  </si>
  <si>
    <t>AN0253</t>
  </si>
  <si>
    <t>AN0254</t>
  </si>
  <si>
    <t>AN0255</t>
  </si>
  <si>
    <t>AN0256</t>
  </si>
  <si>
    <t>AN0257</t>
  </si>
  <si>
    <t>AN0258</t>
  </si>
  <si>
    <t>AN0259</t>
  </si>
  <si>
    <t>AN0260</t>
  </si>
  <si>
    <t>AN0261</t>
  </si>
  <si>
    <t>AN0262</t>
  </si>
  <si>
    <t>AN0263</t>
  </si>
  <si>
    <t>AN0265</t>
  </si>
  <si>
    <t>AN0266</t>
  </si>
  <si>
    <t>AN0267</t>
  </si>
  <si>
    <t>AN0268</t>
  </si>
  <si>
    <t>AN0269</t>
  </si>
  <si>
    <t>AN0270</t>
  </si>
  <si>
    <t>AN0271</t>
  </si>
  <si>
    <t>AN0272</t>
  </si>
  <si>
    <t>AN0273</t>
  </si>
  <si>
    <t>AN0274</t>
  </si>
  <si>
    <t>AN0275</t>
  </si>
  <si>
    <t>AN0276</t>
  </si>
  <si>
    <t>AN0277</t>
  </si>
  <si>
    <t>AN0278</t>
  </si>
  <si>
    <t>AN0279</t>
  </si>
  <si>
    <t>AN0280</t>
  </si>
  <si>
    <t>AN0281</t>
  </si>
  <si>
    <t>AN0282</t>
  </si>
  <si>
    <t>AN0283</t>
  </si>
  <si>
    <t>AN0284</t>
  </si>
  <si>
    <t>AN0285</t>
  </si>
  <si>
    <t>AN0286</t>
  </si>
  <si>
    <t>AN0287</t>
  </si>
  <si>
    <t>AN0288</t>
  </si>
  <si>
    <t>AN0289</t>
  </si>
  <si>
    <t>AN0290</t>
  </si>
  <si>
    <t>AN0292</t>
  </si>
  <si>
    <t>AN0293</t>
  </si>
  <si>
    <t>AN0294</t>
  </si>
  <si>
    <t>AN0296</t>
  </si>
  <si>
    <t>AN0297</t>
  </si>
  <si>
    <t>AN0298</t>
  </si>
  <si>
    <t>AN0299</t>
  </si>
  <si>
    <t>AN0300</t>
  </si>
  <si>
    <t>AN0301</t>
  </si>
  <si>
    <t>AN0302</t>
  </si>
  <si>
    <t>AN0303</t>
  </si>
  <si>
    <t>AN0304</t>
  </si>
  <si>
    <t>AN0305</t>
  </si>
  <si>
    <t>AN0307</t>
  </si>
  <si>
    <t>AN0308</t>
  </si>
  <si>
    <t>AN0309</t>
  </si>
  <si>
    <t>AN0310</t>
  </si>
  <si>
    <t>AN0311</t>
  </si>
  <si>
    <t>AN0312</t>
  </si>
  <si>
    <t>AN0313</t>
  </si>
  <si>
    <t>AN0314</t>
  </si>
  <si>
    <t>AN0315</t>
  </si>
  <si>
    <t>AN0316</t>
  </si>
  <si>
    <t>AN0317</t>
  </si>
  <si>
    <t>AN0318</t>
  </si>
  <si>
    <t>AN0319</t>
  </si>
  <si>
    <t>AN0320</t>
  </si>
  <si>
    <t>AN0321</t>
  </si>
  <si>
    <t>AN0322</t>
  </si>
  <si>
    <t>AN0323</t>
  </si>
  <si>
    <t>AN0324</t>
  </si>
  <si>
    <t>AN0325</t>
  </si>
  <si>
    <t>AN0326</t>
  </si>
  <si>
    <t>AN0327</t>
  </si>
  <si>
    <t>AN0328</t>
  </si>
  <si>
    <t>AN0329</t>
  </si>
  <si>
    <t>AN0330</t>
  </si>
  <si>
    <t>AN0331</t>
  </si>
  <si>
    <t>AN0332</t>
  </si>
  <si>
    <t>AN0333</t>
  </si>
  <si>
    <t>AN0334</t>
  </si>
  <si>
    <t>AN0335</t>
  </si>
  <si>
    <t>AN0336</t>
  </si>
  <si>
    <t>AN0337</t>
  </si>
  <si>
    <t>AN0338</t>
  </si>
  <si>
    <t>AN0339</t>
  </si>
  <si>
    <t>AN0340</t>
  </si>
  <si>
    <t>AN0341</t>
  </si>
  <si>
    <t>AN0342</t>
  </si>
  <si>
    <t>AN0343</t>
  </si>
  <si>
    <t>AN0344</t>
  </si>
  <si>
    <t>AN0345</t>
  </si>
  <si>
    <t>AN0346</t>
  </si>
  <si>
    <t>AN0347</t>
  </si>
  <si>
    <t>AN0348</t>
  </si>
  <si>
    <t>AN0349</t>
  </si>
  <si>
    <t>AN0350</t>
  </si>
  <si>
    <t>AN0351</t>
  </si>
  <si>
    <t>AN0352</t>
  </si>
  <si>
    <t>AN0353</t>
  </si>
  <si>
    <t>AN0354</t>
  </si>
  <si>
    <t>AN0355</t>
  </si>
  <si>
    <t>AN0356</t>
  </si>
  <si>
    <t>AN0357</t>
  </si>
  <si>
    <t>AN0358</t>
  </si>
  <si>
    <t>AN0359</t>
  </si>
  <si>
    <t>AN0360</t>
  </si>
  <si>
    <t>AN0361</t>
  </si>
  <si>
    <t>AN0362</t>
  </si>
  <si>
    <t>AN0363</t>
  </si>
  <si>
    <t>AN0364</t>
  </si>
  <si>
    <t>AN0365</t>
  </si>
  <si>
    <t>AN0366</t>
  </si>
  <si>
    <t>AN0367</t>
  </si>
  <si>
    <t>AN0368</t>
  </si>
  <si>
    <t>AN0369</t>
  </si>
  <si>
    <t>AN0370</t>
  </si>
  <si>
    <t>AN0371</t>
  </si>
  <si>
    <t>AN0372</t>
  </si>
  <si>
    <t>AN0373</t>
  </si>
  <si>
    <t>AN0374</t>
  </si>
  <si>
    <t>AN0375</t>
  </si>
  <si>
    <t>AN0376</t>
  </si>
  <si>
    <t>AN0377</t>
  </si>
  <si>
    <t>AN0378</t>
  </si>
  <si>
    <t>AN0379</t>
  </si>
  <si>
    <t>AN0380</t>
  </si>
  <si>
    <t>AN0381</t>
  </si>
  <si>
    <t>AN0382</t>
  </si>
  <si>
    <t>AN0383</t>
  </si>
  <si>
    <t>AN0384</t>
  </si>
  <si>
    <t>AN0385</t>
  </si>
  <si>
    <t>AN0386</t>
  </si>
  <si>
    <t>AN0387</t>
  </si>
  <si>
    <t>AN0388</t>
  </si>
  <si>
    <t>AN0392</t>
  </si>
  <si>
    <t>AN0393</t>
  </si>
  <si>
    <t>AN0394</t>
  </si>
  <si>
    <t>AN0395</t>
  </si>
  <si>
    <t>AN0396</t>
  </si>
  <si>
    <t>AN0397</t>
  </si>
  <si>
    <t>AN0398</t>
  </si>
  <si>
    <t>AN0399</t>
  </si>
  <si>
    <t>AN0400</t>
  </si>
  <si>
    <t>AN0401</t>
  </si>
  <si>
    <t>AN0402</t>
  </si>
  <si>
    <t>AN0403</t>
  </si>
  <si>
    <t>AN0404</t>
  </si>
  <si>
    <t>AN0405</t>
  </si>
  <si>
    <t>AN0406</t>
  </si>
  <si>
    <t>AN0407</t>
  </si>
  <si>
    <t>AN0408</t>
  </si>
  <si>
    <t>AN0409</t>
  </si>
  <si>
    <t>AN0410</t>
  </si>
  <si>
    <t>AN0411</t>
  </si>
  <si>
    <t>AN0412</t>
  </si>
  <si>
    <t>AN0413</t>
  </si>
  <si>
    <t>AN0414</t>
  </si>
  <si>
    <t>AN0415</t>
  </si>
  <si>
    <t>AN0416</t>
  </si>
  <si>
    <t>AN0417</t>
  </si>
  <si>
    <t>AN0418</t>
  </si>
  <si>
    <t>AN0419</t>
  </si>
  <si>
    <t>AN0420</t>
  </si>
  <si>
    <t>AN0421</t>
  </si>
  <si>
    <t>AN0422</t>
  </si>
  <si>
    <t>AN0423</t>
  </si>
  <si>
    <t>AN0424</t>
  </si>
  <si>
    <t>AN0425</t>
  </si>
  <si>
    <t>AN0426</t>
  </si>
  <si>
    <t>AN0427</t>
  </si>
  <si>
    <t>AN0428</t>
  </si>
  <si>
    <t>AN0429</t>
  </si>
  <si>
    <t>AN0430</t>
  </si>
  <si>
    <t>AN0431</t>
  </si>
  <si>
    <t>AN0432</t>
  </si>
  <si>
    <t>AN0433</t>
  </si>
  <si>
    <t>AN0434</t>
  </si>
  <si>
    <t>AN0435</t>
  </si>
  <si>
    <t>AN0436</t>
  </si>
  <si>
    <t>AN0437</t>
  </si>
  <si>
    <t>AN0438</t>
  </si>
  <si>
    <t>AN0439</t>
  </si>
  <si>
    <t>AN0440</t>
  </si>
  <si>
    <t>AN0441</t>
  </si>
  <si>
    <t>AN0442</t>
  </si>
  <si>
    <t>AN0443</t>
  </si>
  <si>
    <t>AN0444</t>
  </si>
  <si>
    <t>AN0445</t>
  </si>
  <si>
    <t>AN0446</t>
  </si>
  <si>
    <t>AN0447</t>
  </si>
  <si>
    <t>AN0448</t>
  </si>
  <si>
    <t>AN0449</t>
  </si>
  <si>
    <t>AN0450</t>
  </si>
  <si>
    <t>AN0451</t>
  </si>
  <si>
    <t>AN0452</t>
  </si>
  <si>
    <t>AN0453</t>
  </si>
  <si>
    <t>AN0454</t>
  </si>
  <si>
    <t>AN0455</t>
  </si>
  <si>
    <t>AN0456</t>
  </si>
  <si>
    <t>AN0457</t>
  </si>
  <si>
    <t>AN0458</t>
  </si>
  <si>
    <t>AN0459</t>
  </si>
  <si>
    <t>AN0460</t>
  </si>
  <si>
    <t>AN0461</t>
  </si>
  <si>
    <t>AN0462</t>
  </si>
  <si>
    <t>AN0463</t>
  </si>
  <si>
    <t>AN0464</t>
  </si>
  <si>
    <t>AN0465</t>
  </si>
  <si>
    <t>AN0466</t>
  </si>
  <si>
    <t>AN0467</t>
  </si>
  <si>
    <t>AN0468</t>
  </si>
  <si>
    <t>AN0469</t>
  </si>
  <si>
    <t>AN0470</t>
  </si>
  <si>
    <t>AN0471</t>
  </si>
  <si>
    <t>AN0472</t>
  </si>
  <si>
    <t>AN0473</t>
  </si>
  <si>
    <t>AN0474</t>
  </si>
  <si>
    <t>AN0475</t>
  </si>
  <si>
    <t>AN0476</t>
  </si>
  <si>
    <t>AN0477</t>
  </si>
  <si>
    <t>AN0478</t>
  </si>
  <si>
    <t>AN0479</t>
  </si>
  <si>
    <t>AN0480</t>
  </si>
  <si>
    <t>AN0481</t>
  </si>
  <si>
    <t>AN0482</t>
  </si>
  <si>
    <t>AN0483</t>
  </si>
  <si>
    <t>AN0484</t>
  </si>
  <si>
    <t>AN0485</t>
  </si>
  <si>
    <t>AN0486</t>
  </si>
  <si>
    <t>AN0487</t>
  </si>
  <si>
    <t>AN0488</t>
  </si>
  <si>
    <t>AN0489</t>
  </si>
  <si>
    <t>AN0490</t>
  </si>
  <si>
    <t>AN0491</t>
  </si>
  <si>
    <t>AN0492</t>
  </si>
  <si>
    <t>AN0493</t>
  </si>
  <si>
    <t>AN0494</t>
  </si>
  <si>
    <t>AN0495</t>
  </si>
  <si>
    <t>AN0496</t>
  </si>
  <si>
    <t>AN0497</t>
  </si>
  <si>
    <t>AN0498</t>
  </si>
  <si>
    <t>AN0499</t>
  </si>
  <si>
    <t>AN0500</t>
  </si>
  <si>
    <t>AN0501</t>
  </si>
  <si>
    <t>AN0502</t>
  </si>
  <si>
    <t>AN0503</t>
  </si>
  <si>
    <t>AN0504</t>
  </si>
  <si>
    <t>AN0505</t>
  </si>
  <si>
    <t>AN0506</t>
  </si>
  <si>
    <t>AN0507</t>
  </si>
  <si>
    <t>AN0508</t>
  </si>
  <si>
    <t>AN0509</t>
  </si>
  <si>
    <t>AN0510</t>
  </si>
  <si>
    <t>AN0511</t>
  </si>
  <si>
    <t>AN0512</t>
  </si>
  <si>
    <t>AN0513</t>
  </si>
  <si>
    <t>AN0514</t>
  </si>
  <si>
    <t>AN0515</t>
  </si>
  <si>
    <t>AN0516</t>
  </si>
  <si>
    <t>AN0517</t>
  </si>
  <si>
    <t>AN0518</t>
  </si>
  <si>
    <t>AN0519</t>
  </si>
  <si>
    <t>AN0520</t>
  </si>
  <si>
    <t>AN0521</t>
  </si>
  <si>
    <t>AN0522</t>
  </si>
  <si>
    <t>AN0523</t>
  </si>
  <si>
    <t>AN0524</t>
  </si>
  <si>
    <t>AN0525</t>
  </si>
  <si>
    <t>AN0526</t>
  </si>
  <si>
    <t>AN0527</t>
  </si>
  <si>
    <t>AN0528</t>
  </si>
  <si>
    <t>AN0529</t>
  </si>
  <si>
    <t>AN0530</t>
  </si>
  <si>
    <t>AN0531</t>
  </si>
  <si>
    <t>AN0532</t>
  </si>
  <si>
    <t>AN0533</t>
  </si>
  <si>
    <t>AN0534</t>
  </si>
  <si>
    <t>AN0535</t>
  </si>
  <si>
    <t>AN0536</t>
  </si>
  <si>
    <t>AN0537</t>
  </si>
  <si>
    <t>AN0538</t>
  </si>
  <si>
    <t>AN0539</t>
  </si>
  <si>
    <t>AN0540</t>
  </si>
  <si>
    <t>AN0541</t>
  </si>
  <si>
    <t>AN0542</t>
  </si>
  <si>
    <t>AN0543</t>
  </si>
  <si>
    <t>AN0544</t>
  </si>
  <si>
    <t>AN0545</t>
  </si>
  <si>
    <t>AN0546</t>
  </si>
  <si>
    <t>AN0547</t>
  </si>
  <si>
    <t>AN0548</t>
  </si>
  <si>
    <t>AN0549</t>
  </si>
  <si>
    <t>AN0550</t>
  </si>
  <si>
    <t>AN0551</t>
  </si>
  <si>
    <t>AN0552</t>
  </si>
  <si>
    <t>AN0553</t>
  </si>
  <si>
    <t>AN0554</t>
  </si>
  <si>
    <t>AN0555</t>
  </si>
  <si>
    <t>AN0556</t>
  </si>
  <si>
    <t>AN0557</t>
  </si>
  <si>
    <t>AN0558</t>
  </si>
  <si>
    <t>AN0559</t>
  </si>
  <si>
    <t>AN0560</t>
  </si>
  <si>
    <t>AN0561</t>
  </si>
  <si>
    <t>AN0562</t>
  </si>
  <si>
    <t>AN0563</t>
  </si>
  <si>
    <t>AN0564</t>
  </si>
  <si>
    <t>AN0565</t>
  </si>
  <si>
    <t>AN0566</t>
  </si>
  <si>
    <t>AN0567</t>
  </si>
  <si>
    <t>AN0568</t>
  </si>
  <si>
    <t>AN0569</t>
  </si>
  <si>
    <t>AN0570</t>
  </si>
  <si>
    <t>AN0571</t>
  </si>
  <si>
    <t>AN0572</t>
  </si>
  <si>
    <t>AN0573</t>
  </si>
  <si>
    <t>AN0574</t>
  </si>
  <si>
    <t>AN0575</t>
  </si>
  <si>
    <t>AN0576</t>
  </si>
  <si>
    <t>AN0577</t>
  </si>
  <si>
    <t>AN0578</t>
  </si>
  <si>
    <t>AN0579</t>
  </si>
  <si>
    <t>AN0580</t>
  </si>
  <si>
    <t>AN0581</t>
  </si>
  <si>
    <t>AN0582</t>
  </si>
  <si>
    <t>AN0583</t>
  </si>
  <si>
    <t>AN0584</t>
  </si>
  <si>
    <t>AN0585</t>
  </si>
  <si>
    <t>AN0586</t>
  </si>
  <si>
    <t>AN0587</t>
  </si>
  <si>
    <t>AN0588</t>
  </si>
  <si>
    <t>AN0589</t>
  </si>
  <si>
    <t>AN0590</t>
  </si>
  <si>
    <t>AN0591</t>
  </si>
  <si>
    <t>AN0592</t>
  </si>
  <si>
    <t>AN0593</t>
  </si>
  <si>
    <t>AN0594</t>
  </si>
  <si>
    <t>AN0595</t>
  </si>
  <si>
    <t>AN0596</t>
  </si>
  <si>
    <t>AN0597</t>
  </si>
  <si>
    <t>AN0598</t>
  </si>
  <si>
    <t>AN0599</t>
  </si>
  <si>
    <t>AN0600</t>
  </si>
  <si>
    <t>AN0601</t>
  </si>
  <si>
    <t>AN0602</t>
  </si>
  <si>
    <t>AN0603</t>
  </si>
  <si>
    <t>AN0604</t>
  </si>
  <si>
    <t>AN0605</t>
  </si>
  <si>
    <t>AN0606</t>
  </si>
  <si>
    <t>AN0607</t>
  </si>
  <si>
    <t>AN0608</t>
  </si>
  <si>
    <t>AN0609</t>
  </si>
  <si>
    <t>AN0610</t>
  </si>
  <si>
    <t>AN0611</t>
  </si>
  <si>
    <t>AN0612</t>
  </si>
  <si>
    <t>AN0613</t>
  </si>
  <si>
    <t>AN0614</t>
  </si>
  <si>
    <t>AN0615</t>
  </si>
  <si>
    <t>AN0616</t>
  </si>
  <si>
    <t>AN0617</t>
  </si>
  <si>
    <t>AN0618</t>
  </si>
  <si>
    <t>AN0619</t>
  </si>
  <si>
    <t>AN0620</t>
  </si>
  <si>
    <t>AN0621</t>
  </si>
  <si>
    <t>AN0622</t>
  </si>
  <si>
    <t>AN0623</t>
  </si>
  <si>
    <t>AN0624</t>
  </si>
  <si>
    <t>AN0625</t>
  </si>
  <si>
    <t>AN0626</t>
  </si>
  <si>
    <t>AN0627</t>
  </si>
  <si>
    <t>AN0628</t>
  </si>
  <si>
    <t>AN0629</t>
  </si>
  <si>
    <t>AN0630</t>
  </si>
  <si>
    <t>AN0631</t>
  </si>
  <si>
    <t>AN0632</t>
  </si>
  <si>
    <t>AN0633</t>
  </si>
  <si>
    <t>AN0634</t>
  </si>
  <si>
    <t>AN0635</t>
  </si>
  <si>
    <t>AN0636</t>
  </si>
  <si>
    <t>AN0637</t>
  </si>
  <si>
    <t>AN0638</t>
  </si>
  <si>
    <t>AN0639</t>
  </si>
  <si>
    <t>AN0640</t>
  </si>
  <si>
    <t>AN0641</t>
  </si>
  <si>
    <t>AN0642</t>
  </si>
  <si>
    <t>AN0643</t>
  </si>
  <si>
    <t>AN0644</t>
  </si>
  <si>
    <t>AN0645</t>
  </si>
  <si>
    <t>AN0646</t>
  </si>
  <si>
    <t>AN0647</t>
  </si>
  <si>
    <t>AN0648</t>
  </si>
  <si>
    <t>AN0649</t>
  </si>
  <si>
    <t>AN0650</t>
  </si>
  <si>
    <t>AN0651</t>
  </si>
  <si>
    <t>AN0652</t>
  </si>
  <si>
    <t>AN0653</t>
  </si>
  <si>
    <t>AN0654</t>
  </si>
  <si>
    <t>AN0655</t>
  </si>
  <si>
    <t>Llave bronce de chorro 3/4 (AquaMAX)</t>
  </si>
  <si>
    <t>Reduccion 3/4 a 1/2</t>
  </si>
  <si>
    <t>Penetrante Spray Anti Rust (W 40)</t>
  </si>
  <si>
    <t>Thinner, galones (Tropical)</t>
  </si>
  <si>
    <t>Pintura Popular Amarillo Canario Epoxita</t>
  </si>
  <si>
    <t>Juegos de  destornilladores electricos Truper</t>
  </si>
  <si>
    <t>Candado Yale 110-50 (50MM)</t>
  </si>
  <si>
    <t>UNITYPE, maquina de escribir (cinta para impresoras)</t>
  </si>
  <si>
    <t xml:space="preserve">Suape Lunbrang </t>
  </si>
  <si>
    <t xml:space="preserve">Hilo redondo para desbrozadora para chaper 262m, TRUPER </t>
  </si>
  <si>
    <t>AN0656</t>
  </si>
  <si>
    <t>AN0657</t>
  </si>
  <si>
    <t>AN0658</t>
  </si>
  <si>
    <t>Capa para agua de adulto Donacion</t>
  </si>
  <si>
    <t>Lija ultra fina #100</t>
  </si>
  <si>
    <t>Lija ultra fina #1500</t>
  </si>
  <si>
    <t>Pintura</t>
  </si>
  <si>
    <t>AN0659</t>
  </si>
  <si>
    <t>AN0660</t>
  </si>
  <si>
    <t>AN0661</t>
  </si>
  <si>
    <t>AN0662</t>
  </si>
  <si>
    <t>AN0663</t>
  </si>
  <si>
    <t>AN0664</t>
  </si>
  <si>
    <t>AN0665</t>
  </si>
  <si>
    <t>AN0666</t>
  </si>
  <si>
    <t>AN0667</t>
  </si>
  <si>
    <t>AN0668</t>
  </si>
  <si>
    <t>AN0669</t>
  </si>
  <si>
    <t>AN0670</t>
  </si>
  <si>
    <t>Pintura Epoxica Azul Oscuro</t>
  </si>
  <si>
    <t>Pintura Epoxica Rojo Chino</t>
  </si>
  <si>
    <t>AN0671</t>
  </si>
  <si>
    <t>AN0672</t>
  </si>
  <si>
    <t>AN0673</t>
  </si>
  <si>
    <t>AN0674</t>
  </si>
  <si>
    <t>Compras</t>
  </si>
  <si>
    <t>Pintura Popular Verde 04, Epoxica, Galones</t>
  </si>
  <si>
    <t>DOWSIL 795 BLACK SILICON (305 ML)</t>
  </si>
  <si>
    <t>Valores  Donaciones RD$</t>
  </si>
  <si>
    <t>Precio Unitario Donaciones RD$</t>
  </si>
  <si>
    <t>Pintura verde Oscuro 04, Epoxica Popular</t>
  </si>
  <si>
    <t>Disolventes de pinturas Epoxica, Galones</t>
  </si>
  <si>
    <t>Disolventes de pinturas Epoxica, Popular Galones</t>
  </si>
  <si>
    <t>Pintura Epoxita, color Rojo 10 Popular</t>
  </si>
  <si>
    <t>Brochas de 3, Beno</t>
  </si>
  <si>
    <t>Tenedores desechables plastifar, paquete de 25 unidades</t>
  </si>
  <si>
    <t>Reflector LED 500W con supresor de picos, KVA</t>
  </si>
  <si>
    <t>AN0675</t>
  </si>
  <si>
    <t>AN0676</t>
  </si>
  <si>
    <t>Lente Safecare, Lente de seguridad</t>
  </si>
  <si>
    <t>AN0677</t>
  </si>
  <si>
    <t>Anillo de cera de 3 a 4, EZ FLO</t>
  </si>
  <si>
    <t>Llave bronce de chorro 1/2, Aquumax</t>
  </si>
  <si>
    <t>Conector plastico para manguera, Truper</t>
  </si>
  <si>
    <t>Palo derecogedor de basura Reyna</t>
  </si>
  <si>
    <t>Palo recogedor de basura linda</t>
  </si>
  <si>
    <t>Clips Binder 41 mm, (LUOTUD)</t>
  </si>
  <si>
    <t>Mota, Lancon de 9 x 1 1/4</t>
  </si>
  <si>
    <t>Pintura Popular, Azul 93 positivo acrilico mate</t>
  </si>
  <si>
    <t>Esmalte Industrial Tropical, Azul Royal, Galones</t>
  </si>
  <si>
    <t>Pintura Popular Epoxica Blanco 50 con catalizador, galones</t>
  </si>
  <si>
    <t xml:space="preserve">Pintura Popular Epoxica Blanco 50 </t>
  </si>
  <si>
    <t>Pintura Popular Crema 51, Epoxica, Galones</t>
  </si>
  <si>
    <t>Pintura Popular Epoxita, color Rojo 10</t>
  </si>
  <si>
    <t>Pintura Tropical, Terra cota 38, Galones</t>
  </si>
  <si>
    <t>Pintura Amarillo Canario 13, Epoxica Popular</t>
  </si>
  <si>
    <t xml:space="preserve">Folders  Manila File, color verdes,  cajas </t>
  </si>
  <si>
    <t>Folders Xcelent,  color rosado cajas</t>
  </si>
  <si>
    <t>Marcadores para pizarra Studmark, Azules und.</t>
  </si>
  <si>
    <t>Marcadores pizarra Pointer rojos und.</t>
  </si>
  <si>
    <t>Pendaflex 8 1/2 x 14</t>
  </si>
  <si>
    <t>Resaltadore Pelika Azul und.</t>
  </si>
  <si>
    <t>Resaltadores Permanente Printek, azul  und.</t>
  </si>
  <si>
    <t>Resaltadores Pizarra printek rojo und.</t>
  </si>
  <si>
    <t>Resaltadores Pizarra Printex verde und.</t>
  </si>
  <si>
    <t>Resma de papel Ofis Notas,  8 1/2 x11. Fardo de 5 Unidades</t>
  </si>
  <si>
    <t>Marcadores Permanete Studmark azules und.</t>
  </si>
  <si>
    <t>Pintura Tropical  de  Señalizacion, Amarilla, Galones</t>
  </si>
  <si>
    <t>Pintura Tropical, Azul 53 Claro,Epoxica Galones</t>
  </si>
  <si>
    <t>Pintura Tropical, Azul Claro 53, Epoxica Galones</t>
  </si>
  <si>
    <t>Llave de chorro PVC 1/2, SH Premiun</t>
  </si>
  <si>
    <t>Manguera de lavamano de 3/8 x 16, Yare</t>
  </si>
  <si>
    <t>Manguera de lavamano de 3/8 x 20, Yare</t>
  </si>
  <si>
    <t>Ducha de Regadera Zeta Batch</t>
  </si>
  <si>
    <t>Griferia para fregaderos de 8, Lukan</t>
  </si>
  <si>
    <t>Kit p/tanque inodoro completo Coflex</t>
  </si>
  <si>
    <t>Junta Dreicer de 2</t>
  </si>
  <si>
    <t xml:space="preserve">T  PVC, de 1 </t>
  </si>
  <si>
    <t xml:space="preserve">T PVC de 1 1/2 </t>
  </si>
  <si>
    <t xml:space="preserve">T PVC de 2 </t>
  </si>
  <si>
    <t xml:space="preserve">T PVC  3/4 </t>
  </si>
  <si>
    <t>Boquilla de fregadero, 4 1/2, SH PRIMER</t>
  </si>
  <si>
    <t>Boquilla de lavamano, SH PRIMER 1 1/4</t>
  </si>
  <si>
    <t>Sifon sencillos para  lavamano, Aquavita</t>
  </si>
  <si>
    <t>Boquilla de Inodoro, SLOAN</t>
  </si>
  <si>
    <t>Boquilla Inodoro, Sloan V 551 A</t>
  </si>
  <si>
    <t>Boquilla de fregadero, EZ FLO</t>
  </si>
  <si>
    <t>AN0678</t>
  </si>
  <si>
    <t>AN0679</t>
  </si>
  <si>
    <t>AN0680</t>
  </si>
  <si>
    <t>AN0681</t>
  </si>
  <si>
    <t>Cemento Pegatod Gris 50 LBS (FDA)</t>
  </si>
  <si>
    <t>Ferreteria/Herramienta</t>
  </si>
  <si>
    <t xml:space="preserve">Ferreteria </t>
  </si>
  <si>
    <t>Guante Reforz. Obrero GU-Teca-R, Truper</t>
  </si>
  <si>
    <t>Pala de corte 8 1/4 (21CM), Truper</t>
  </si>
  <si>
    <t>AN0682</t>
  </si>
  <si>
    <t>AN0683</t>
  </si>
  <si>
    <t>AN0684</t>
  </si>
  <si>
    <t>Pala Cuadrada Y9 C/mango Prestul</t>
  </si>
  <si>
    <t>Pala Redonda C/mango Prestul</t>
  </si>
  <si>
    <t>Enchufe C/Tierra Macho 110V 515PV plastico, Levinton</t>
  </si>
  <si>
    <t>Pintura Acrilica, Blanco Hueso, King</t>
  </si>
  <si>
    <t>AN0685</t>
  </si>
  <si>
    <t>AN0686</t>
  </si>
  <si>
    <t>AN0687</t>
  </si>
  <si>
    <t>Pintura Tropical, Barniz Plus F-10</t>
  </si>
  <si>
    <t xml:space="preserve">Llave Angular de dos salidas </t>
  </si>
  <si>
    <t>Lija de agua 800, Orientcraf</t>
  </si>
  <si>
    <t>Lija de agua 1000, Orientcraf</t>
  </si>
  <si>
    <t>Lija de agua 2500, Norrton Microfina</t>
  </si>
  <si>
    <t>Lija de agua No. 1500</t>
  </si>
  <si>
    <t>Lija de agua 2000, Orientcraf</t>
  </si>
  <si>
    <t>AN0688</t>
  </si>
  <si>
    <t>AN0689</t>
  </si>
  <si>
    <t>AN0690</t>
  </si>
  <si>
    <t>AN0691</t>
  </si>
  <si>
    <t>AN0692</t>
  </si>
  <si>
    <t>AN0693</t>
  </si>
  <si>
    <t>AN0694</t>
  </si>
  <si>
    <t>Codo PVC drenaje 6 x 90</t>
  </si>
  <si>
    <t>Caja metalica 2x4 americana con Ko de 1/2</t>
  </si>
  <si>
    <t>Ferreteria y Herramienta</t>
  </si>
  <si>
    <t>AN0695</t>
  </si>
  <si>
    <t>AN0696</t>
  </si>
  <si>
    <t>AN0697</t>
  </si>
  <si>
    <t>AN0698</t>
  </si>
  <si>
    <t>AN0699</t>
  </si>
  <si>
    <t>AN0700</t>
  </si>
  <si>
    <t>Equipo de Proteccion y  seguridad</t>
  </si>
  <si>
    <r>
      <t xml:space="preserve">Guante P/Jardin , Size </t>
    </r>
    <r>
      <rPr>
        <b/>
        <sz val="16"/>
        <color theme="1"/>
        <rFont val="Times New Roman"/>
        <family val="1"/>
      </rPr>
      <t>S</t>
    </r>
    <r>
      <rPr>
        <sz val="16"/>
        <color theme="1"/>
        <rFont val="Times New Roman"/>
        <family val="1"/>
      </rPr>
      <t>, Truper</t>
    </r>
  </si>
  <si>
    <t>Brazo Hidraulico 40-80KG para puerta paleado, Hermex</t>
  </si>
  <si>
    <t>Tijera para Jardin dos manos T19, Truper</t>
  </si>
  <si>
    <t>Tijera para Jardin dos manos T17, Truper</t>
  </si>
  <si>
    <t>Linterna Led 2000lm recargable 13x8, Truper</t>
  </si>
  <si>
    <t xml:space="preserve">Nevera de playa 16 LTS, IGOO </t>
  </si>
  <si>
    <t>Herramienta</t>
  </si>
  <si>
    <t>Lona plastica 40 x 60, color azul</t>
  </si>
  <si>
    <t>Tie Wrap de 12" Volteck Truper, color negro</t>
  </si>
  <si>
    <t>Tie Wrap de 12" Fontaner, color negro</t>
  </si>
  <si>
    <t>Tie Wrap de 18 x 350</t>
  </si>
  <si>
    <t>Tie Wrap de 16"  5 x 400 Nylon, color negro</t>
  </si>
  <si>
    <t>AN0701</t>
  </si>
  <si>
    <t>AN0702</t>
  </si>
  <si>
    <t>AN0703</t>
  </si>
  <si>
    <t>AN0704</t>
  </si>
  <si>
    <t>AN0705</t>
  </si>
  <si>
    <t>AN0706</t>
  </si>
  <si>
    <t>AN0707</t>
  </si>
  <si>
    <t>AN0708</t>
  </si>
  <si>
    <t>AN0709</t>
  </si>
  <si>
    <t xml:space="preserve">Titac  doble sencillo, WINLLE </t>
  </si>
  <si>
    <t>Enchufe C/Tierra Macho 250V  plastico, Levinton</t>
  </si>
  <si>
    <t>AN0710</t>
  </si>
  <si>
    <t>AN0711</t>
  </si>
  <si>
    <t>Interruptor Triple</t>
  </si>
  <si>
    <t>Mezcla para pañete ( Funda de 42.5 KG</t>
  </si>
  <si>
    <t>Ferreteria/ Construccion</t>
  </si>
  <si>
    <t>Pintura Popular Azul 05, popular con catalizador</t>
  </si>
  <si>
    <t>AN0712</t>
  </si>
  <si>
    <t>AN0713</t>
  </si>
  <si>
    <t>AN0714</t>
  </si>
  <si>
    <t>AN0715</t>
  </si>
  <si>
    <t>AN0716</t>
  </si>
  <si>
    <t>AN0717</t>
  </si>
  <si>
    <t>AN0718</t>
  </si>
  <si>
    <t>AN0719</t>
  </si>
  <si>
    <t>AN0720</t>
  </si>
  <si>
    <t>AN0721</t>
  </si>
  <si>
    <t>AN0722</t>
  </si>
  <si>
    <t>AN0723</t>
  </si>
  <si>
    <t>AN0724</t>
  </si>
  <si>
    <t>AN0725</t>
  </si>
  <si>
    <t>AN0726</t>
  </si>
  <si>
    <t>AN0727</t>
  </si>
  <si>
    <t>AN0728</t>
  </si>
  <si>
    <t>AN0729</t>
  </si>
  <si>
    <t>AN0730</t>
  </si>
  <si>
    <t>AN0731</t>
  </si>
  <si>
    <t>AN0732</t>
  </si>
  <si>
    <t>AN0733</t>
  </si>
  <si>
    <t>AN0734</t>
  </si>
  <si>
    <t>AN0735</t>
  </si>
  <si>
    <t>AN0736</t>
  </si>
  <si>
    <t>Crayones de cera (pelikan)</t>
  </si>
  <si>
    <t>T-SHIRT (L)</t>
  </si>
  <si>
    <t>T-SHIRT (S)</t>
  </si>
  <si>
    <t>T-SHIRT (M)</t>
  </si>
  <si>
    <t>T-SHIRT  (14)</t>
  </si>
  <si>
    <t>T-SHIRT  (16)</t>
  </si>
  <si>
    <t>Rolo Mota Smart Life</t>
  </si>
  <si>
    <t>Bolas Navideñas azules 6\1 LGM07-00</t>
  </si>
  <si>
    <t>Bola Navidad doradas 6\1 LGM-032V</t>
  </si>
  <si>
    <t>Luz Led Nav. Alambre blanco</t>
  </si>
  <si>
    <t>Telar 26cm 9m 100/1</t>
  </si>
  <si>
    <t>Falda para arbol de fibra de poliester 69cm 96/1</t>
  </si>
  <si>
    <t>Pantalones  (34)</t>
  </si>
  <si>
    <t>Pantalones   (30)</t>
  </si>
  <si>
    <t>Pantalones   (32)</t>
  </si>
  <si>
    <t>Pantalones   (40)</t>
  </si>
  <si>
    <t>Pantalones   (42)</t>
  </si>
  <si>
    <t>Arbol Navideño, hoja blanca</t>
  </si>
  <si>
    <t>Flor Navideña doradas y plateadas</t>
  </si>
  <si>
    <t>Bolas Navideñas plateadas 6/1</t>
  </si>
  <si>
    <t>Bolas Navideñas doradas 6/1</t>
  </si>
  <si>
    <t>Adorno Navidad tipo ramas</t>
  </si>
  <si>
    <t>Lazoz Navidad doradas y plateadas</t>
  </si>
  <si>
    <t>Cubeta de pintura semigloss pro fragil 86</t>
  </si>
  <si>
    <t>AN0737</t>
  </si>
  <si>
    <t>AN0738</t>
  </si>
  <si>
    <t>AN0739</t>
  </si>
  <si>
    <t>AN0740</t>
  </si>
  <si>
    <t>AN0741</t>
  </si>
  <si>
    <t>Clavo de 3, libras</t>
  </si>
  <si>
    <t>Clavo de 2, dulce. Libra</t>
  </si>
  <si>
    <t xml:space="preserve">Escoba Linda. </t>
  </si>
  <si>
    <t>Abrazadera de 1</t>
  </si>
  <si>
    <t>AN0742</t>
  </si>
  <si>
    <t>AN0743</t>
  </si>
  <si>
    <t>AN0744</t>
  </si>
  <si>
    <t>AN0745</t>
  </si>
  <si>
    <t>Lamparas LED Ceiling 110-120V 50/60Hz 15w</t>
  </si>
  <si>
    <t>Carretilla 5.5 Truper M/Madera Ruda Antiponchable</t>
  </si>
  <si>
    <t>AN0746</t>
  </si>
  <si>
    <t>AN0747</t>
  </si>
  <si>
    <t>AN0748</t>
  </si>
  <si>
    <t>AN0749</t>
  </si>
  <si>
    <t>Cubeta de pintura Pro Fragil 86,  Popular</t>
  </si>
  <si>
    <t>Cubeta de pintura Supra Satin Deep</t>
  </si>
  <si>
    <t>Cubeta de pintura Acrilica Blanco Pro Blanco P-50</t>
  </si>
  <si>
    <t>Caja de registro 6 x 6 x 4, plastica</t>
  </si>
  <si>
    <t>Caja de breaker de 8 a 16 circuitos</t>
  </si>
  <si>
    <t>Cuchillo de carniceria de 7. en acero</t>
  </si>
  <si>
    <t>Chaira de 10, redonda para afilar cuchillo</t>
  </si>
  <si>
    <t>Piedra de amolar cuchillo de 6</t>
  </si>
  <si>
    <t>AN0750</t>
  </si>
  <si>
    <t>AN0751</t>
  </si>
  <si>
    <t>AN0752</t>
  </si>
  <si>
    <t>Pico de 5 libra, mango fibra de vidrio de 36</t>
  </si>
  <si>
    <t>Tijera para podar de 8 1/2</t>
  </si>
  <si>
    <t>Lima Triangular de 8 pulgadas con hacer endurecido</t>
  </si>
  <si>
    <t>Cincel plano 3/4 x 12</t>
  </si>
  <si>
    <t>Cincel plano 3/4 x 8</t>
  </si>
  <si>
    <t>Cincel plano 3/4 x 6</t>
  </si>
  <si>
    <t>Llaves PVC de 2, sin rosca</t>
  </si>
  <si>
    <t>Cemento PVC de uso industrial Latas de 1/4 azul</t>
  </si>
  <si>
    <t>Curva electrica de 1/2 en PVC</t>
  </si>
  <si>
    <t xml:space="preserve">Machete tipo burriquito de 14 </t>
  </si>
  <si>
    <t>Guante de Jardineria, Size M</t>
  </si>
  <si>
    <t>AN0753</t>
  </si>
  <si>
    <t>AN0754</t>
  </si>
  <si>
    <t>AN0755</t>
  </si>
  <si>
    <t>AN0756</t>
  </si>
  <si>
    <t>AN0757</t>
  </si>
  <si>
    <t>AN0758</t>
  </si>
  <si>
    <t>AN0759</t>
  </si>
  <si>
    <t>AN0760</t>
  </si>
  <si>
    <t>AN0761</t>
  </si>
  <si>
    <t>AN0762</t>
  </si>
  <si>
    <t>AN0763</t>
  </si>
  <si>
    <t>AN0764</t>
  </si>
  <si>
    <t>AN0765</t>
  </si>
  <si>
    <t>AN0766</t>
  </si>
  <si>
    <t>AN0767</t>
  </si>
  <si>
    <t>AN0768</t>
  </si>
  <si>
    <t>AN0769</t>
  </si>
  <si>
    <t>AN0770</t>
  </si>
  <si>
    <t>AN0771</t>
  </si>
  <si>
    <t>Chacabana para hombres manga larga</t>
  </si>
  <si>
    <t>Camisas unisex manga corta</t>
  </si>
  <si>
    <t>Camisas manga larga para damas, tipo Bahamas</t>
  </si>
  <si>
    <t>Camisas  manga corta para hombre, tipo Bahamas</t>
  </si>
  <si>
    <t>Camisas manga corta para damas, tipo Bahamas</t>
  </si>
  <si>
    <t>Camisas  manga larga para hombre, tipo Bahamas</t>
  </si>
  <si>
    <t>AN0772</t>
  </si>
  <si>
    <t>AN0773</t>
  </si>
  <si>
    <t>Camisa para hombres, manga corta, logo institucional</t>
  </si>
  <si>
    <t>Camisa para hombres, manga larga, logo institucional</t>
  </si>
  <si>
    <t>Camisa para hombres, manga larga, color blanco</t>
  </si>
  <si>
    <t xml:space="preserve">Pantalones formales para hombre color negro </t>
  </si>
  <si>
    <t>Pantalones formales para hombre azul tergal</t>
  </si>
  <si>
    <t>Camisas Unisex maga larga azul tergal</t>
  </si>
  <si>
    <t xml:space="preserve">Pantalon de hombre, Jeans para hombre </t>
  </si>
  <si>
    <t>Chaquetas para damas manga larga color negro</t>
  </si>
  <si>
    <t>AN0774</t>
  </si>
  <si>
    <t>AN0775</t>
  </si>
  <si>
    <t>AN0776</t>
  </si>
  <si>
    <t>AN0777</t>
  </si>
  <si>
    <t>AN0778</t>
  </si>
  <si>
    <t>AN0779</t>
  </si>
  <si>
    <t>AN0780</t>
  </si>
  <si>
    <t>AN0781</t>
  </si>
  <si>
    <t>AN0782</t>
  </si>
  <si>
    <t>Uniformes</t>
  </si>
  <si>
    <t>Ferreteria</t>
  </si>
  <si>
    <t>AN0783</t>
  </si>
  <si>
    <t>Rastrillos plasticos con mango, diente fuerte color verde</t>
  </si>
  <si>
    <t>AN0784</t>
  </si>
  <si>
    <t>AN0785</t>
  </si>
  <si>
    <t>AN0786</t>
  </si>
  <si>
    <t>AN0787</t>
  </si>
  <si>
    <t>AN0788</t>
  </si>
  <si>
    <t>AN0789</t>
  </si>
  <si>
    <t>AN0790</t>
  </si>
  <si>
    <t>AN0791</t>
  </si>
  <si>
    <t>20/12/2024</t>
  </si>
  <si>
    <t xml:space="preserve">Cremora en polvo para café de 32oz                                    </t>
  </si>
  <si>
    <t>Papel aluminio de 2/1</t>
  </si>
  <si>
    <t xml:space="preserve">Te Frio en polvo varios sabores 4 C </t>
  </si>
  <si>
    <t>Vasos biodegradables 10oz 20 paq. 50/1</t>
  </si>
  <si>
    <t>Vasos biodegradables 12oz 20 paq. 50/1</t>
  </si>
  <si>
    <t>Vasos cónicos de papel de  25paq.  200/1</t>
  </si>
  <si>
    <t>Platos Foam hondo</t>
  </si>
  <si>
    <t>19/12/2024</t>
  </si>
  <si>
    <t xml:space="preserve">Fibra de vidrio yda </t>
  </si>
  <si>
    <t>Brocha # 2 azules Good Year</t>
  </si>
  <si>
    <t xml:space="preserve">Almohadilla velmer und. Para sello </t>
  </si>
  <si>
    <t>Almohadilla para terminación</t>
  </si>
  <si>
    <t>AN0792</t>
  </si>
  <si>
    <t>AN0793</t>
  </si>
  <si>
    <t>AN0794</t>
  </si>
  <si>
    <t>AN0795</t>
  </si>
  <si>
    <t>AN0796</t>
  </si>
  <si>
    <t>AN0797</t>
  </si>
  <si>
    <t>AN0798</t>
  </si>
  <si>
    <t>Disco de paño de cabuya, 5x 3/8</t>
  </si>
  <si>
    <t>Secante, botella de 1 litro</t>
  </si>
  <si>
    <t>Resina gal</t>
  </si>
  <si>
    <t>Llave tipo mariposa PVC de 4</t>
  </si>
  <si>
    <t>Tubo pvc drenaje 6x19</t>
  </si>
  <si>
    <t>Mandil delantal de 49 cm x 84 cm x 25 cm</t>
  </si>
  <si>
    <t>Rolo de pulir de 41 x 25 mm</t>
  </si>
  <si>
    <t>AN0799</t>
  </si>
  <si>
    <t>AN0800</t>
  </si>
  <si>
    <t>AN0801</t>
  </si>
  <si>
    <t>AN0802</t>
  </si>
  <si>
    <t>13/12/2024</t>
  </si>
  <si>
    <t>Microfiber Tower, lanilla amarilla (Toallitas) 30/1</t>
  </si>
  <si>
    <t>AN0803</t>
  </si>
  <si>
    <t>AN0804</t>
  </si>
  <si>
    <t>AN0805</t>
  </si>
  <si>
    <t>AN0806</t>
  </si>
  <si>
    <t>AN0807</t>
  </si>
  <si>
    <t>AN0808</t>
  </si>
  <si>
    <t xml:space="preserve">Piedras de olor para baño, aroma variados </t>
  </si>
  <si>
    <t>Detergente en polvo, saco de 30 libras (Evelyn)</t>
  </si>
  <si>
    <t>16/12/2024</t>
  </si>
  <si>
    <t>Ambientador en apray (fragancias variadas) frazcos de 8onz (227g) (glade)</t>
  </si>
  <si>
    <t xml:space="preserve">Rollo Termico 3 1/8 42 MTS </t>
  </si>
  <si>
    <t>AN0809</t>
  </si>
  <si>
    <t>Fundas negra de 30 galones</t>
  </si>
  <si>
    <t>27/12/2024</t>
  </si>
  <si>
    <t>27/12/2020</t>
  </si>
  <si>
    <t>Brillo gris la maquina, Scotch Brite 3M</t>
  </si>
  <si>
    <t>AN0810</t>
  </si>
  <si>
    <t>Palo de escoba Linda</t>
  </si>
  <si>
    <t>Decoracion</t>
  </si>
  <si>
    <t>Overol manga corta  (size M)</t>
  </si>
  <si>
    <t>Overol manga corta  (size L)</t>
  </si>
  <si>
    <t>AN0811</t>
  </si>
  <si>
    <t>Tornillo 1 de 1 1/2</t>
  </si>
  <si>
    <t>Bota de goma unisex, color negro #39</t>
  </si>
  <si>
    <t>Bota de goma unisex, color negro #40</t>
  </si>
  <si>
    <t>Bota de goma unisex, color negro #41</t>
  </si>
  <si>
    <t>Bota de goma unisex, color negro #42</t>
  </si>
  <si>
    <t>Bota de goma unisex, color negro #43</t>
  </si>
  <si>
    <t xml:space="preserve">Lapiz de carbon Hb, Beifa cajas </t>
  </si>
  <si>
    <t>AN0209</t>
  </si>
  <si>
    <t>AN0812</t>
  </si>
  <si>
    <t>Platos Foam No 9</t>
  </si>
  <si>
    <t>Safacon Negro Pequeño Printek</t>
  </si>
  <si>
    <t>Tabla con gancho printex und.</t>
  </si>
  <si>
    <t>Cloro al 99.9% galones (Bio Aroma)</t>
  </si>
  <si>
    <t>Guantes Quirurgicos  S .  Safe Care,  cajas</t>
  </si>
  <si>
    <t>Machete ancho 18, corneta MOCHA color ladrillo</t>
  </si>
  <si>
    <r>
      <t xml:space="preserve">Guante de uso domestico Size </t>
    </r>
    <r>
      <rPr>
        <b/>
        <sz val="16"/>
        <color theme="1"/>
        <rFont val="Times New Roman"/>
        <family val="1"/>
      </rPr>
      <t>L</t>
    </r>
    <r>
      <rPr>
        <sz val="16"/>
        <color theme="1"/>
        <rFont val="Times New Roman"/>
        <family val="1"/>
      </rPr>
      <t xml:space="preserve"> (Kika)</t>
    </r>
  </si>
  <si>
    <r>
      <t xml:space="preserve">Guante de uso domestico Size </t>
    </r>
    <r>
      <rPr>
        <b/>
        <sz val="16"/>
        <color theme="1"/>
        <rFont val="Times New Roman"/>
        <family val="1"/>
      </rPr>
      <t>M</t>
    </r>
    <r>
      <rPr>
        <sz val="16"/>
        <color theme="1"/>
        <rFont val="Times New Roman"/>
        <family val="1"/>
      </rPr>
      <t xml:space="preserve"> (Kika)</t>
    </r>
  </si>
  <si>
    <r>
      <t xml:space="preserve">Guante de uso domestico Size </t>
    </r>
    <r>
      <rPr>
        <b/>
        <sz val="16"/>
        <color theme="1"/>
        <rFont val="Times New Roman"/>
        <family val="1"/>
      </rPr>
      <t>S</t>
    </r>
    <r>
      <rPr>
        <sz val="16"/>
        <color theme="1"/>
        <rFont val="Times New Roman"/>
        <family val="1"/>
      </rPr>
      <t xml:space="preserve"> (Kika)</t>
    </r>
  </si>
  <si>
    <t>17/12/2024</t>
  </si>
  <si>
    <t>Bateria Duracel D12 Cop pertop und.</t>
  </si>
  <si>
    <t xml:space="preserve">Tape de goma 3m </t>
  </si>
  <si>
    <t>Brocha de 1 1/2, colima</t>
  </si>
  <si>
    <t>Brocha de 2, colima</t>
  </si>
  <si>
    <t>Lampara Emergency Led R- 2L, (120 / 277V), SAF</t>
  </si>
  <si>
    <t>Tubo Florecente T8 de 17 W, OSRAM</t>
  </si>
  <si>
    <t>Lampara Led 18w  125x18x17, ILUKON</t>
  </si>
  <si>
    <t>Lampara 400 W IP66, RUDO</t>
  </si>
  <si>
    <t>Lampara LED panel light, 3W Rudo</t>
  </si>
  <si>
    <t>Guantes Truper pares size L</t>
  </si>
  <si>
    <t>manual</t>
  </si>
  <si>
    <t>AN0813</t>
  </si>
  <si>
    <t>AN0814</t>
  </si>
  <si>
    <t>Platos #6 Plastifar blanco</t>
  </si>
  <si>
    <t>AN0815</t>
  </si>
  <si>
    <t>AN0816</t>
  </si>
  <si>
    <t>Tape Invinsible  Highand</t>
  </si>
  <si>
    <t>14/2/2025</t>
  </si>
  <si>
    <t>AN0817</t>
  </si>
  <si>
    <t>Mascarilla LUZ MED</t>
  </si>
  <si>
    <t>Folders amarillo 8 1/2 x 11, Xcelent, paquetes de 50 unidades</t>
  </si>
  <si>
    <t>Folders Blanco con bolsillo</t>
  </si>
  <si>
    <t>Folders Crema,  8 1/2 x 13</t>
  </si>
  <si>
    <t>AN0818</t>
  </si>
  <si>
    <t>AN0819</t>
  </si>
  <si>
    <t>13/2/2025</t>
  </si>
  <si>
    <t>Filtro de combustible</t>
  </si>
  <si>
    <t xml:space="preserve">Aditivo Diesel Treatment </t>
  </si>
  <si>
    <t>Aditivo Bardahl #1</t>
  </si>
  <si>
    <t>Aditivo Bardahl #2</t>
  </si>
  <si>
    <t>AN0820</t>
  </si>
  <si>
    <t>AN0821</t>
  </si>
  <si>
    <t>AN0822</t>
  </si>
  <si>
    <t>AN0823</t>
  </si>
  <si>
    <t>AN0824</t>
  </si>
  <si>
    <t>AN0825</t>
  </si>
  <si>
    <t>AN0826</t>
  </si>
  <si>
    <t>AN0827</t>
  </si>
  <si>
    <t>AN0828</t>
  </si>
  <si>
    <t>AN0829</t>
  </si>
  <si>
    <t>AN0830</t>
  </si>
  <si>
    <t>AN0831</t>
  </si>
  <si>
    <t>Aceite Sae 40 Kendall Super-D Tanque de 55 GL</t>
  </si>
  <si>
    <t>Coolant 50-50 Capsa Tanque de 55 GL</t>
  </si>
  <si>
    <t>Aceite para compresores de Aire Cepsa 1 GL</t>
  </si>
  <si>
    <t>Aditivo Antifriccionante Nano Engine pro-tec lata</t>
  </si>
  <si>
    <t>Aditivo Estabilizador para aceite de Motor</t>
  </si>
  <si>
    <t>Aceite 2 Tiempo 1 GL</t>
  </si>
  <si>
    <t>Filtro de Aire PA1712 Elemento Aire</t>
  </si>
  <si>
    <t>Lente quirurgicos transparente</t>
  </si>
  <si>
    <t>Lentes de seguridad transparente, mamey y negro Truper</t>
  </si>
  <si>
    <t>Aceite de Motor 10W30 Tanque de 55 GL</t>
  </si>
  <si>
    <t xml:space="preserve">Agua destilada 1 galon </t>
  </si>
  <si>
    <t>Aceite Sintetico 75W-90</t>
  </si>
  <si>
    <t>Filtro BD103 CUMMINS Doble Filtracion 3318853 LF3000</t>
  </si>
  <si>
    <t>Tubo Led 18W 6500K 100-277V, ILUKON</t>
  </si>
  <si>
    <t>Esponjas de fregar kit 2+1 Oks</t>
  </si>
  <si>
    <t>Platos #6 Plastifar  crema</t>
  </si>
  <si>
    <t>Lysol Spray</t>
  </si>
  <si>
    <t>Desinfectantes Brisa Marina</t>
  </si>
  <si>
    <t>Union Universal  de  1 1/2</t>
  </si>
  <si>
    <t>Tapones hembra de 2</t>
  </si>
  <si>
    <t>T PVC drenaje de 6</t>
  </si>
  <si>
    <t>Codo de 2, PVC</t>
  </si>
  <si>
    <t>Codo 3/4, Lukan</t>
  </si>
  <si>
    <t>AN0832</t>
  </si>
  <si>
    <t>Codo 45 de 1</t>
  </si>
  <si>
    <t>AN0833</t>
  </si>
  <si>
    <t>Codo 45 de 3/4</t>
  </si>
  <si>
    <t>Eslinga de 2t x 5 mts. X 38 mm, con trinquete, Sujetador con matraca Ratchet tie down</t>
  </si>
  <si>
    <t>AN0834</t>
  </si>
  <si>
    <t>Desinfectantes Lavanda</t>
  </si>
  <si>
    <t>Interruptor  sencillo de 1,  BTICINO</t>
  </si>
  <si>
    <t>AN0835</t>
  </si>
  <si>
    <r>
      <t xml:space="preserve">Guante de uso domestico Size </t>
    </r>
    <r>
      <rPr>
        <b/>
        <sz val="16"/>
        <color theme="1"/>
        <rFont val="Times New Roman"/>
        <family val="1"/>
      </rPr>
      <t>L</t>
    </r>
    <r>
      <rPr>
        <sz val="16"/>
        <color theme="1"/>
        <rFont val="Times New Roman"/>
        <family val="1"/>
      </rPr>
      <t xml:space="preserve"> (Suave)</t>
    </r>
  </si>
  <si>
    <t>Desinfectante Akoo, Mar Fresco</t>
  </si>
  <si>
    <t>AN0836</t>
  </si>
  <si>
    <t>Lava platos Limon  ACEL</t>
  </si>
  <si>
    <t>Tomacorriente doble de 120v blanco bticino 2P</t>
  </si>
  <si>
    <t>Lava platos Limon  akoo</t>
  </si>
  <si>
    <t>Marcador de pagina 45mm x 12mm Talbot</t>
  </si>
  <si>
    <t>Terminales de sillitas para cable de acero # 6</t>
  </si>
  <si>
    <t>Precio Unitario RD$</t>
  </si>
  <si>
    <t>Alimentos balanceado acuacultura para peces de agua dulce, Aquafed,  25kgs.en sacos</t>
  </si>
  <si>
    <t>Alimentos de animales</t>
  </si>
  <si>
    <t>Alimentos para animales  aves, 25kgs. En saco</t>
  </si>
  <si>
    <t>Alimentos para peces de colores nutrafin cubetas</t>
  </si>
  <si>
    <t>Agua destilada gl</t>
  </si>
  <si>
    <t>Insumos medicos</t>
  </si>
  <si>
    <t>Alcohol Isopropilico 70% , C3 H8 O, Galon</t>
  </si>
  <si>
    <t xml:space="preserve">Alcohol Isopropilico 70%, Blue Cross Galon </t>
  </si>
  <si>
    <t>Alcohol Isopropilico 70%, Proclean</t>
  </si>
  <si>
    <t>Alcohol Isopropilico 70%, Grugo, Galon</t>
  </si>
  <si>
    <t>Alcohol Isopropilico 99%, Aldi, Galon</t>
  </si>
  <si>
    <t>Alcohol Isopropilico 70%,  S y M Chemicals SRL, Galon</t>
  </si>
  <si>
    <t>Reagent Alcohol 95%, Medical Chrmicals, Galon</t>
  </si>
  <si>
    <t>Vaselina Liquida blanca, Gandhar, Galon</t>
  </si>
  <si>
    <t>Mascarillas Blanca und.</t>
  </si>
  <si>
    <t>BLUE LIPS Banderola  UND.</t>
  </si>
  <si>
    <t>Bolsa de filtracion desechacbles 10-14</t>
  </si>
  <si>
    <t>Jabon Clorexin 4% Antiseptico para la piel, Laboratorio LAAND</t>
  </si>
  <si>
    <t>Jabon Clorexin 4% Antiseptico para la piel, Procleanm Galon</t>
  </si>
  <si>
    <t>Curturetex und.</t>
  </si>
  <si>
    <t>Magadisol espuma gemisida, JDSA</t>
  </si>
  <si>
    <t xml:space="preserve">Frazada Azul </t>
  </si>
  <si>
    <t>Gaza tipo almoada Paq.</t>
  </si>
  <si>
    <t>Gorro Quirurgico und.</t>
  </si>
  <si>
    <t>Jabon liquido bactericida, Proclean, Galon</t>
  </si>
  <si>
    <t>Magadine solucion, JDSA, Galon</t>
  </si>
  <si>
    <t xml:space="preserve">Gel para manos, Jarabacoa, Galones </t>
  </si>
  <si>
    <t xml:space="preserve">Gel Santizante Right Choice, Galon </t>
  </si>
  <si>
    <t>Hand Sanitizer, Galon</t>
  </si>
  <si>
    <t>Pipette tips color amarillo bandelam  und.</t>
  </si>
  <si>
    <t>Solucion Aut. Sp batericida al 10%</t>
  </si>
  <si>
    <t xml:space="preserve">Solucion Magadine germicida aspiracion quirurgica, Farmaceutica, Galon </t>
  </si>
  <si>
    <t>Suero cloruro de sodio 0.9% alfa und.</t>
  </si>
  <si>
    <t>Suero de solucion ringer lactolo alfa de 1000 ml. und.</t>
  </si>
  <si>
    <t xml:space="preserve">Suero horla cnf uso de veterinaria </t>
  </si>
  <si>
    <t>Suero solee coot inyectable de dextrosa 5 %  und.</t>
  </si>
  <si>
    <t>Placa de Petrux</t>
  </si>
  <si>
    <t>Yodo Povidona Galon</t>
  </si>
  <si>
    <t>Amoxicilina en capsula de 500 MG, Cajas de 100 Capsulas</t>
  </si>
  <si>
    <t>Amoxicilina  de 250 Ml Polvo para suspension.</t>
  </si>
  <si>
    <t>Ceftrixona de 1G mas ampollas de lidocaina de 1ML</t>
  </si>
  <si>
    <t>Difendramina de 20 MG, Solucuion Inyenctable, Ampollas de 2 ML</t>
  </si>
  <si>
    <t>Heparina sodico de 5000 UI Solucion</t>
  </si>
  <si>
    <t>Diclofenac sodico de 75 MG Solucion, inyectable</t>
  </si>
  <si>
    <t>Alcohol Isopropyl 70%</t>
  </si>
  <si>
    <t xml:space="preserve">Agua Oxigenada al 3%, </t>
  </si>
  <si>
    <t>Solucion yodopovidona 10%, Rhisodine Galon</t>
  </si>
  <si>
    <t xml:space="preserve">Rollos de algodon 80cmx180cm 50pc </t>
  </si>
  <si>
    <t>Formol 40% Galon</t>
  </si>
  <si>
    <t>Kits de detección de Sulfato de Cobre (Donacion de Anamar)</t>
  </si>
  <si>
    <t>Cloruro de postasio</t>
  </si>
  <si>
    <t>Porta Objeto C/50</t>
  </si>
  <si>
    <t>Cubre Objetos C/100</t>
  </si>
  <si>
    <t>Jeringa 1ML C/100 CJ</t>
  </si>
  <si>
    <t>Jeringa 3ML C/100 CJ</t>
  </si>
  <si>
    <t>Jeringa 5ML C/100 CJ</t>
  </si>
  <si>
    <t>Jeringa 10ML C/100 CJ</t>
  </si>
  <si>
    <t>Jeringa 20ML C/100 CJ</t>
  </si>
  <si>
    <t>Batas Desechables Mangas cortas</t>
  </si>
  <si>
    <t>Batas Desechables Mangas largas</t>
  </si>
  <si>
    <t>Pijama Medico Tela</t>
  </si>
  <si>
    <t>Cateter no. 18   1 C/50</t>
  </si>
  <si>
    <t>Cateter no. 22   1 C/50</t>
  </si>
  <si>
    <t>Gasa Esteriles C/100</t>
  </si>
  <si>
    <t>Cinta Elastioco</t>
  </si>
  <si>
    <t>28/2/2025</t>
  </si>
  <si>
    <t>Sulfato de Cobre</t>
  </si>
  <si>
    <t>Jeringas de 3cc, 23 GX1 (Donacion) unidad</t>
  </si>
  <si>
    <t>Galon de pintura Epoxica Gris Oscuro 08</t>
  </si>
  <si>
    <t>Lona Azul Reforzada 4x6 Truper</t>
  </si>
  <si>
    <t>Boligrafo felpa uni-ball und.</t>
  </si>
  <si>
    <t>Borrador blanco, Pointer ER210A-20</t>
  </si>
  <si>
    <t>Borra blanca pointer und. Pequeña</t>
  </si>
  <si>
    <t>AN0837</t>
  </si>
  <si>
    <t>AN0838</t>
  </si>
  <si>
    <t>AN0839</t>
  </si>
  <si>
    <t>14/4/2025</t>
  </si>
  <si>
    <t>Habichuelas variadas pq de 2 lbs</t>
  </si>
  <si>
    <t>Spaguetti de 1 lb</t>
  </si>
  <si>
    <t>AN0840</t>
  </si>
  <si>
    <t>AN0841</t>
  </si>
  <si>
    <t>AN0842</t>
  </si>
  <si>
    <t>Pasta de tomate, lata de 900 Gr.</t>
  </si>
  <si>
    <t>Arroz, saco de 125 lbs</t>
  </si>
  <si>
    <t>AN0843</t>
  </si>
  <si>
    <t>AN0844</t>
  </si>
  <si>
    <t>Huevos blancos, carton de 30/1</t>
  </si>
  <si>
    <t>Aceite comestible, Gl de 250 Gr.</t>
  </si>
  <si>
    <t>Pollo entero de 5 lbs</t>
  </si>
  <si>
    <t>25/3/2025</t>
  </si>
  <si>
    <t>Tubo de ensallo de 6 ml</t>
  </si>
  <si>
    <t>Tubo de ensallo de 45 ml</t>
  </si>
  <si>
    <t>Petri cuatrado 21 paquete de 10/1</t>
  </si>
  <si>
    <t>Petri Diche redondo de 150mm x 15mm 1 paquete de 10/1</t>
  </si>
  <si>
    <t>Separador de Celulas</t>
  </si>
  <si>
    <t>Te Caliente en sobres, sabores variados</t>
  </si>
  <si>
    <t>AN0845</t>
  </si>
  <si>
    <t>AN0846</t>
  </si>
  <si>
    <t>Etiquetas de tortuga</t>
  </si>
  <si>
    <t>Aplicador de Etiquetas de tortuga</t>
  </si>
  <si>
    <t>AN0847</t>
  </si>
  <si>
    <t>27/4/2025</t>
  </si>
  <si>
    <t>Cinta Anti-resbalante 3m, pies</t>
  </si>
  <si>
    <t>Pintura Ultra Acrilica Rojo Geranio 127 popular GL</t>
  </si>
  <si>
    <t xml:space="preserve">Sardina en aceite vegetal, latas de 125 gr </t>
  </si>
  <si>
    <t>Almohadilla para Mouse</t>
  </si>
  <si>
    <t>Adaptadores de bluetooth</t>
  </si>
  <si>
    <t>Ambientador AIR WICK, fragancia Lavanda</t>
  </si>
  <si>
    <t>Bushing Inodoro</t>
  </si>
  <si>
    <t>AN0848</t>
  </si>
  <si>
    <t>AN0849</t>
  </si>
  <si>
    <t>Machete 18 C/mango corneta</t>
  </si>
  <si>
    <t>27/11/2024</t>
  </si>
  <si>
    <r>
      <t>Machete ancho Jabali N</t>
    </r>
    <r>
      <rPr>
        <u/>
        <sz val="16"/>
        <color theme="1"/>
        <rFont val="Times New Roman"/>
        <family val="1"/>
      </rPr>
      <t>o</t>
    </r>
    <r>
      <rPr>
        <sz val="16"/>
        <color theme="1"/>
        <rFont val="Times New Roman"/>
        <family val="1"/>
      </rPr>
      <t>127, para jardin 19-K</t>
    </r>
  </si>
  <si>
    <t>Reguilete Foy</t>
  </si>
  <si>
    <t xml:space="preserve">Adaptador macho 1/2 </t>
  </si>
  <si>
    <t>Adaptador macho  1 1/2</t>
  </si>
  <si>
    <t>AN0850</t>
  </si>
  <si>
    <t>AN0851</t>
  </si>
  <si>
    <t>AN0852</t>
  </si>
  <si>
    <t>Lampara de LED N030-C0609 UNA</t>
  </si>
  <si>
    <t>Lampara de LED N050-B06018 SOL</t>
  </si>
  <si>
    <t>Lampara de LED N020-D06018 SEM</t>
  </si>
  <si>
    <t>Tape Electrico Scotch, 33+  3/4 IN X 66 FT (22 YD) X .007 IN 19mm x 20,1</t>
  </si>
  <si>
    <t>Marcador  permanente negro Printek.</t>
  </si>
  <si>
    <t>Cafe Santo Domingo 1lb 20/1</t>
  </si>
  <si>
    <t>Papel de baño 2 hojas 350</t>
  </si>
  <si>
    <t>Grapas Nustra,</t>
  </si>
  <si>
    <t>Unidad de Medida</t>
  </si>
  <si>
    <t xml:space="preserve">Unidad  </t>
  </si>
  <si>
    <t>Saco</t>
  </si>
  <si>
    <t>Galones</t>
  </si>
  <si>
    <t>Unidad</t>
  </si>
  <si>
    <t>Galon</t>
  </si>
  <si>
    <t>Pie</t>
  </si>
  <si>
    <t>Donación</t>
  </si>
  <si>
    <t>Funda</t>
  </si>
  <si>
    <t>Cubeta</t>
  </si>
  <si>
    <t>Inventario Mensual</t>
  </si>
  <si>
    <t>Cemento Gris, Titan</t>
  </si>
  <si>
    <t>Masking tape verde Scoth 3M</t>
  </si>
  <si>
    <t>Tornillo 10 x 1 6 x 25</t>
  </si>
  <si>
    <t>Llave combinada 10 MM china</t>
  </si>
  <si>
    <t>Arandela de presion 5/16</t>
  </si>
  <si>
    <t>AN0853</t>
  </si>
  <si>
    <t>AN0854</t>
  </si>
  <si>
    <t>AN0855</t>
  </si>
  <si>
    <t>AN0856</t>
  </si>
  <si>
    <t>AN0857</t>
  </si>
  <si>
    <t>Cobre activo tamponado cupramine, ato para uso marino o de agua dulce, de 2 litros</t>
  </si>
  <si>
    <t>Litros</t>
  </si>
  <si>
    <t>Donacion de Anamar</t>
  </si>
  <si>
    <t>Sulfato de cobre granulado</t>
  </si>
  <si>
    <t>Libras</t>
  </si>
  <si>
    <t>Camisas para mujer, mangas largas cuello Ingles,color blanco, proveedor Evelmar comercial</t>
  </si>
  <si>
    <t>Camisas para mujer, mangas largas cuello chino,color blanco, proveedor Evelmar comercial</t>
  </si>
  <si>
    <t xml:space="preserve">Pantalones funcionales para damas, material sintetico 96% nylon, </t>
  </si>
  <si>
    <t xml:space="preserve">Pantalones funcionales para Hombres, material sintetico 96% nylon, </t>
  </si>
  <si>
    <t>Pantalones Jeans para dama</t>
  </si>
  <si>
    <t>Glucometro KIT</t>
  </si>
  <si>
    <t>unidad</t>
  </si>
  <si>
    <t>Insumo medico</t>
  </si>
  <si>
    <t>AN0858</t>
  </si>
  <si>
    <t>AN0859</t>
  </si>
  <si>
    <t>AN0860</t>
  </si>
  <si>
    <t>AN0861</t>
  </si>
  <si>
    <t>AN0862</t>
  </si>
  <si>
    <t>AN0863</t>
  </si>
  <si>
    <t>AN0864</t>
  </si>
  <si>
    <t>AN0865</t>
  </si>
  <si>
    <t>AN0866</t>
  </si>
  <si>
    <t>Brochas de 3 Pulgadas, Beno color blanco</t>
  </si>
  <si>
    <t>Retardador de pintura, Tropical</t>
  </si>
  <si>
    <t>Pintura Epoxica azul claro No.53, Con catalizador incluido, PEGASUS</t>
  </si>
  <si>
    <t>Pintura Epoxica azul Oscuro, Con catalizador incluido, PEGASUS</t>
  </si>
  <si>
    <t>Pintura Epoxica Rojo Chino No.10, Con catalizador incluido, PEGASUS</t>
  </si>
  <si>
    <t>Conector p/manguera 3/4 macho</t>
  </si>
  <si>
    <t>Conector p/manguera 3/4 hembra</t>
  </si>
  <si>
    <t>Cheque Hornzontal 1-1/2 No. 130 ITAP</t>
  </si>
  <si>
    <t>Llave angular 1/2 x 1/2 europea Foset</t>
  </si>
  <si>
    <t>Lave de paso plastica, bola 3/4 PVC</t>
  </si>
  <si>
    <t>Tubo 1-1/2 x 19 , Presion PVC</t>
  </si>
  <si>
    <t>AN0867</t>
  </si>
  <si>
    <t>AN0868</t>
  </si>
  <si>
    <t>AN0869</t>
  </si>
  <si>
    <t>AN0870</t>
  </si>
  <si>
    <t>AN0871</t>
  </si>
  <si>
    <t>AN0872</t>
  </si>
  <si>
    <t>AN0873</t>
  </si>
  <si>
    <t>AN0874</t>
  </si>
  <si>
    <t>AN0875</t>
  </si>
  <si>
    <t>AN0876</t>
  </si>
  <si>
    <t>AN0877</t>
  </si>
  <si>
    <t>AN0878</t>
  </si>
  <si>
    <t>AN0879</t>
  </si>
  <si>
    <t>AN0880</t>
  </si>
  <si>
    <t>Pelitizado Engorde para peces, sacos de 55 LBS</t>
  </si>
  <si>
    <t>Flake, alimentos para peces, cubeta de 11.24 L (2.3KGS)</t>
  </si>
  <si>
    <t>Pollo entero (fresco)</t>
  </si>
  <si>
    <t>Libra</t>
  </si>
  <si>
    <t>Pintura Satinada Color blanco 00, Cano,  Cubeta de 5 Galones</t>
  </si>
  <si>
    <t>Pintura Industrial, color gris 08, Cano, Galones</t>
  </si>
  <si>
    <t>Brocha de 4 pulgadas, mango plastico, celda naturales, BYP</t>
  </si>
  <si>
    <t>Pintura Oleo Color No.3 Color Ocre Oscuro</t>
  </si>
  <si>
    <t>Sellador para madera con solvente o base de agua, Cano</t>
  </si>
  <si>
    <t>Pintura Laca con brillo, Cano</t>
  </si>
  <si>
    <t>Masilla Cano, color blanco, recipiente de 1/4</t>
  </si>
  <si>
    <t>Mini Rolo para pintar hierros, de un solo rodillo, de microfibra, Cano</t>
  </si>
  <si>
    <t>Porta Rolo Estándar, BYP</t>
  </si>
  <si>
    <t>Brocha de 1 pulgadas, mango plastico, celda naturales, BYP</t>
  </si>
  <si>
    <t>Brocha de 2 pulgadas, mango plastico, celda naturales, BYP</t>
  </si>
  <si>
    <t>Espatula plastica de 3 pulgadas,  Truper</t>
  </si>
  <si>
    <t>Diluyente (Thiner), Claudette, 1 galon</t>
  </si>
  <si>
    <t>Pintura Oleo Color No.2, Sienna tostada</t>
  </si>
  <si>
    <t>Espatula plastica, manga platico simple de 4 pulgadas, punta recta, Truper</t>
  </si>
  <si>
    <t>Impulsador de inodoro Push-Bottom, de 2 pulgadas, DAVON</t>
  </si>
  <si>
    <t>Conector de ducha de uso industrial, de acero inoxidable de 1/2 pulgadas, Aqua Flex</t>
  </si>
  <si>
    <t>Junta de cera para inodoro con guia, KINBOOR</t>
  </si>
  <si>
    <t>Llave de paso de 2 pulgadas, PVC</t>
  </si>
  <si>
    <t>Tubo de PVC 2 1/2 pulgadas</t>
  </si>
  <si>
    <t>Valvula de bronce de 1 pulgada</t>
  </si>
  <si>
    <t>AN0881</t>
  </si>
  <si>
    <t>AN0882</t>
  </si>
  <si>
    <t>AN0883</t>
  </si>
  <si>
    <t>AN0884</t>
  </si>
  <si>
    <t>AN0885</t>
  </si>
  <si>
    <t>AN0886</t>
  </si>
  <si>
    <t>AN0887</t>
  </si>
  <si>
    <t>AN0888</t>
  </si>
  <si>
    <t>AN0889</t>
  </si>
  <si>
    <t>AN0890</t>
  </si>
  <si>
    <t>AN0891</t>
  </si>
  <si>
    <t>AN0892</t>
  </si>
  <si>
    <t>AN0893</t>
  </si>
  <si>
    <t>AN0894</t>
  </si>
  <si>
    <t>AN0895</t>
  </si>
  <si>
    <t>AN0896</t>
  </si>
  <si>
    <t>AN0897</t>
  </si>
  <si>
    <t>AN0898</t>
  </si>
  <si>
    <t>AN0899</t>
  </si>
  <si>
    <t>Insumos medicos para especimenes</t>
  </si>
  <si>
    <t>Cajas</t>
  </si>
  <si>
    <t>Paquete</t>
  </si>
  <si>
    <t>AN0900</t>
  </si>
  <si>
    <t>AN0901</t>
  </si>
  <si>
    <t>AN0902</t>
  </si>
  <si>
    <t>AN0904</t>
  </si>
  <si>
    <t>AN0905</t>
  </si>
  <si>
    <t>AN0906</t>
  </si>
  <si>
    <t>AN0907</t>
  </si>
  <si>
    <t>AN0908</t>
  </si>
  <si>
    <t>AN0909</t>
  </si>
  <si>
    <t>AN0910</t>
  </si>
  <si>
    <t>AN0911</t>
  </si>
  <si>
    <t>AN0912</t>
  </si>
  <si>
    <t>AN0913</t>
  </si>
  <si>
    <t>AN0914</t>
  </si>
  <si>
    <t>AN0915</t>
  </si>
  <si>
    <t>AN0916</t>
  </si>
  <si>
    <t>AN0917</t>
  </si>
  <si>
    <t>AN0918</t>
  </si>
  <si>
    <t>AN0919</t>
  </si>
  <si>
    <t>AN0920</t>
  </si>
  <si>
    <t>AN0921</t>
  </si>
  <si>
    <t>AN0922</t>
  </si>
  <si>
    <t>AN0923</t>
  </si>
  <si>
    <t>AN0924</t>
  </si>
  <si>
    <t>AN0925</t>
  </si>
  <si>
    <t>AN0926</t>
  </si>
  <si>
    <t>AN0927</t>
  </si>
  <si>
    <t>AN0928</t>
  </si>
  <si>
    <t>AN0929</t>
  </si>
  <si>
    <t>AN0930</t>
  </si>
  <si>
    <t>AN0931</t>
  </si>
  <si>
    <t>AN0932</t>
  </si>
  <si>
    <t>AN0933</t>
  </si>
  <si>
    <t>AN0934</t>
  </si>
  <si>
    <t>AN0935</t>
  </si>
  <si>
    <t>AN0936</t>
  </si>
  <si>
    <t>AN0937</t>
  </si>
  <si>
    <t>AN0938</t>
  </si>
  <si>
    <t>AN0939</t>
  </si>
  <si>
    <t>AN0940</t>
  </si>
  <si>
    <t>AN0941</t>
  </si>
  <si>
    <t>AN0942</t>
  </si>
  <si>
    <t>AN0943</t>
  </si>
  <si>
    <t>AN0944</t>
  </si>
  <si>
    <t>AN0945</t>
  </si>
  <si>
    <t>AN0946</t>
  </si>
  <si>
    <t>AN0947</t>
  </si>
  <si>
    <t>AN0948</t>
  </si>
  <si>
    <t>AN0949</t>
  </si>
  <si>
    <t>AN0950</t>
  </si>
  <si>
    <t>AN0951</t>
  </si>
  <si>
    <t>AN0952</t>
  </si>
  <si>
    <t>AN0953</t>
  </si>
  <si>
    <t>AN0954</t>
  </si>
  <si>
    <t>AN0955</t>
  </si>
  <si>
    <t>AN0956</t>
  </si>
  <si>
    <t>AN0957</t>
  </si>
  <si>
    <t>AN0958</t>
  </si>
  <si>
    <t>AN0959</t>
  </si>
  <si>
    <t>AN0960</t>
  </si>
  <si>
    <t>AN0961</t>
  </si>
  <si>
    <t>AN0962</t>
  </si>
  <si>
    <t>AN0963</t>
  </si>
  <si>
    <t>AN0964</t>
  </si>
  <si>
    <t>AN0965</t>
  </si>
  <si>
    <t>AN0966</t>
  </si>
  <si>
    <t>AN0967</t>
  </si>
  <si>
    <t>AN0968</t>
  </si>
  <si>
    <t>AN0969</t>
  </si>
  <si>
    <t>AN0970</t>
  </si>
  <si>
    <t>AN0971</t>
  </si>
  <si>
    <t>AN0972</t>
  </si>
  <si>
    <t>AN0973</t>
  </si>
  <si>
    <t>AN0974</t>
  </si>
  <si>
    <t>BREVE DESCRIPCIÓN DEL BIEN</t>
  </si>
  <si>
    <t>EXISTENCIA</t>
  </si>
  <si>
    <t>VALORES RD$</t>
  </si>
  <si>
    <t>GASOIL</t>
  </si>
  <si>
    <t>TICKETS GASOLINA</t>
  </si>
  <si>
    <t>TOTAL COMBUSTIBLE RD$</t>
  </si>
  <si>
    <t>AN0975</t>
  </si>
  <si>
    <t>26/5/2025</t>
  </si>
  <si>
    <t>Pega P/ceramica Pegatod gris</t>
  </si>
  <si>
    <t>Coplin de 2</t>
  </si>
  <si>
    <t>Copli den 1/2</t>
  </si>
  <si>
    <t>Nota adhesiva (post-it) 73x123 amarilla und. grande</t>
  </si>
  <si>
    <t>Escobillón (Barredoras) cortas, negra</t>
  </si>
  <si>
    <t xml:space="preserve">Escobillón (Barredoras) Duro </t>
  </si>
  <si>
    <t>Limpiador de ceramicas en galones</t>
  </si>
  <si>
    <t>AN0976</t>
  </si>
  <si>
    <t>AN0980</t>
  </si>
  <si>
    <t>AN0981</t>
  </si>
  <si>
    <t>AN0982</t>
  </si>
  <si>
    <t>AN0983</t>
  </si>
  <si>
    <t>AN0984</t>
  </si>
  <si>
    <t>AN0985</t>
  </si>
  <si>
    <t>AN0986</t>
  </si>
  <si>
    <t>AN0987</t>
  </si>
  <si>
    <t>AN0988</t>
  </si>
  <si>
    <t>AN0989</t>
  </si>
  <si>
    <t>AN0990</t>
  </si>
  <si>
    <t>AN0991</t>
  </si>
  <si>
    <t>AN0992</t>
  </si>
  <si>
    <t>AN0993</t>
  </si>
  <si>
    <t>AN0994</t>
  </si>
  <si>
    <t>Arnés de cuerpo entero V-Line: Pecho/Piernas 3D Universal</t>
  </si>
  <si>
    <t>Equipo de protección</t>
  </si>
  <si>
    <t>30/5/2025</t>
  </si>
  <si>
    <t>Codo de presión de 1/2 pulgadas pvc</t>
  </si>
  <si>
    <t xml:space="preserve">Codo pvc  1/2 pulgadas </t>
  </si>
  <si>
    <t>Valvula de pvc en linea 2 pulgadas</t>
  </si>
  <si>
    <t>Valvula de bronce de 1/2 pulgadas</t>
  </si>
  <si>
    <t>Valvula de bronce de 3/4 pulgadas</t>
  </si>
  <si>
    <t>Estuche Multiuso para damas</t>
  </si>
  <si>
    <t>Pistola de Pintar, Total</t>
  </si>
  <si>
    <t>Brocha de 3/4 pulgadas, Roma</t>
  </si>
  <si>
    <t>Estopa de algodón paquetes de 1 Libra</t>
  </si>
  <si>
    <t>Lija de agua #1000, Norton</t>
  </si>
  <si>
    <t>Lija de agua #1500, Norton</t>
  </si>
  <si>
    <t>Lija de agua #2000 Norton</t>
  </si>
  <si>
    <t>Lija de agua #2500, Norton</t>
  </si>
  <si>
    <t>Lija de agua #220, Abracol</t>
  </si>
  <si>
    <t>Lija de agua #220, Norton</t>
  </si>
  <si>
    <t>Disolvente de pintura epoxica galon, Tropical</t>
  </si>
  <si>
    <t>Aguarras Galon, Tropical</t>
  </si>
  <si>
    <t>Cola Carpintero, Canon, Galon</t>
  </si>
  <si>
    <t>Esmeril Ultra fino</t>
  </si>
  <si>
    <t>Pintura Supra Satin Deep, Lancon, cubeta de 5 galones</t>
  </si>
  <si>
    <t>Pinturas Epoxica  Supra Satinada Deep, Cubeta de (05), Galones</t>
  </si>
  <si>
    <t>Mota antigota de 9 pulgadas, BYP</t>
  </si>
  <si>
    <t>Brocha de 1/2 pulgadas, mango plastico, celda naturales, BYP</t>
  </si>
  <si>
    <t>Espatula de metal 4 pulgadas, Truper</t>
  </si>
  <si>
    <t>Espatula de metal 3 pulgadas, mango rojo, Roma</t>
  </si>
  <si>
    <t>Adaptadores hembra de 1/2 pulgada, PVC</t>
  </si>
  <si>
    <t>Adaptador hembra de  1/2, PVC</t>
  </si>
  <si>
    <t>Boquilla de fregadero medida estandar</t>
  </si>
  <si>
    <t>Codo 45 de 1 1/2 pulgada, PVC</t>
  </si>
  <si>
    <t>Codo de 1 pulgadas, Presion, PVC</t>
  </si>
  <si>
    <t>Codo de 3 pulgadas,  drenaje PVC</t>
  </si>
  <si>
    <t>Codo de 1 pulgadas, PVC</t>
  </si>
  <si>
    <t>Codo  1 1/2 PVC pulgadas</t>
  </si>
  <si>
    <t>Codo 3/4 pulgadas, PVC</t>
  </si>
  <si>
    <t>Copling de 1 1/2 pulgadas, PVC</t>
  </si>
  <si>
    <t>Copling  de 3 pulgadas, PVC</t>
  </si>
  <si>
    <t>Copling  1 pulgadas,  PVC</t>
  </si>
  <si>
    <t>Llave angular 1/2 x 3/8 pulgadas</t>
  </si>
  <si>
    <t>Llave bola PVC 1 pulgadas, PVC</t>
  </si>
  <si>
    <t>Llave bola PVC 1/2 pulgadas, PVC</t>
  </si>
  <si>
    <t>Llave bola PVC 3/4 pulgadas sin rosca, PVC</t>
  </si>
  <si>
    <t>Llave de chorro para jardin de 1/2 pulgadas de bronce</t>
  </si>
  <si>
    <t>Manguera para inodoro 5/8 pulgadas</t>
  </si>
  <si>
    <t>Manguera para inodoro 3/8 pulgadas</t>
  </si>
  <si>
    <t>Mezcladora para fregadero, 1 entrada monomano, 2 manguera cromada</t>
  </si>
  <si>
    <t>Mezcladora para fregadero, 2 llave para 2 mangueras cromada</t>
  </si>
  <si>
    <t>Mezcladora para lavamanos de uso industrial, manomando a 2 mangueras</t>
  </si>
  <si>
    <t>Niple de acero inoxidable de 1/2 x 2 pulgadas</t>
  </si>
  <si>
    <t>Niple de acero inoxidable de 1/2 x 3 pulgadas</t>
  </si>
  <si>
    <t>T  de 1 pulgadas, Presion, PVC</t>
  </si>
  <si>
    <t>T  de 1/2 pulgadas, Presion PVC</t>
  </si>
  <si>
    <t>T de 3/4 pulgadas, PVC de Presion</t>
  </si>
  <si>
    <t>Tubo PVC 1/2 pulgadas, electrico</t>
  </si>
  <si>
    <t>Tubo PVC 3/4 pulgadas, electrico</t>
  </si>
  <si>
    <t>Tubo PVC 1 1/2 pulgadas</t>
  </si>
  <si>
    <t>Tubo PVC Presion de 1/2 pulgada</t>
  </si>
  <si>
    <t>Tubo PVC Presion de 2 pulgada</t>
  </si>
  <si>
    <t>Tubo PVC Presion de 3/4 pulgada</t>
  </si>
  <si>
    <t>Tubo PVC Presion de 1 pulgada</t>
  </si>
  <si>
    <t>Azucar Modelo</t>
  </si>
  <si>
    <t>AN0977</t>
  </si>
  <si>
    <t>AN0979</t>
  </si>
  <si>
    <t>AN0995</t>
  </si>
  <si>
    <t>AN0996</t>
  </si>
  <si>
    <t>AN0997</t>
  </si>
  <si>
    <t>AN0998</t>
  </si>
  <si>
    <t>AN0999</t>
  </si>
  <si>
    <t>AN1000</t>
  </si>
  <si>
    <t>AN1001</t>
  </si>
  <si>
    <t>AN1002</t>
  </si>
  <si>
    <t>AN1003</t>
  </si>
  <si>
    <t>AN1004</t>
  </si>
  <si>
    <t>AN1005</t>
  </si>
  <si>
    <t>AN1006</t>
  </si>
  <si>
    <t>AN1007</t>
  </si>
  <si>
    <t>AN1008</t>
  </si>
  <si>
    <t>AN1009</t>
  </si>
  <si>
    <t>AN1010</t>
  </si>
  <si>
    <t>AN1011</t>
  </si>
  <si>
    <t>AN1012</t>
  </si>
  <si>
    <t>AN1013</t>
  </si>
  <si>
    <t>AN1014</t>
  </si>
  <si>
    <t>AN1015</t>
  </si>
  <si>
    <t>AN1016</t>
  </si>
  <si>
    <t>AN1018</t>
  </si>
  <si>
    <t>AN1019</t>
  </si>
  <si>
    <t>AN1020</t>
  </si>
  <si>
    <t>AN1021</t>
  </si>
  <si>
    <t>AN1022</t>
  </si>
  <si>
    <t>AN1023</t>
  </si>
  <si>
    <t>AN1024</t>
  </si>
  <si>
    <t>AN1025</t>
  </si>
  <si>
    <t>AN1026</t>
  </si>
  <si>
    <t>AN1027</t>
  </si>
  <si>
    <t>AN1028</t>
  </si>
  <si>
    <t>AN1029</t>
  </si>
  <si>
    <t>AN1030</t>
  </si>
  <si>
    <t>AN1031</t>
  </si>
  <si>
    <t>AN1032</t>
  </si>
  <si>
    <t>AN1033</t>
  </si>
  <si>
    <t>Codo 3/4 pulgadas, PVC, Presion</t>
  </si>
  <si>
    <t>Guante B, Scotch</t>
  </si>
  <si>
    <t>Guantes manos Acra</t>
  </si>
  <si>
    <t>Medidor Claudette Cloro PH</t>
  </si>
  <si>
    <t>Lampara Led N050-B06018 SOL</t>
  </si>
  <si>
    <t>Lampara Led N020-D06018 SEM</t>
  </si>
  <si>
    <t>Lampara Led N030-C0609 UNA</t>
  </si>
  <si>
    <t>Valvula control de aire ajustable 10/1</t>
  </si>
  <si>
    <t>Malla para peces Nylon</t>
  </si>
  <si>
    <t>Difusor de aire, Cilindro 1</t>
  </si>
  <si>
    <t>Valvula control de aire de 2 salidas</t>
  </si>
  <si>
    <t>Roundup 3.78 litro MON</t>
  </si>
  <si>
    <t>Tarjeta de Presentacion Sr. Jimmy Garcia</t>
  </si>
  <si>
    <t>Tarjeta de Presentacion Sr. Omar Reynoso</t>
  </si>
  <si>
    <t>Thorobond azul, Lancon</t>
  </si>
  <si>
    <t>Mezcla lisa para empañete</t>
  </si>
  <si>
    <t>Alimentos para persona</t>
  </si>
  <si>
    <t>Alimentos engorde de tilapia 55 LBS</t>
  </si>
  <si>
    <t>Mantenimiento/limpieza</t>
  </si>
  <si>
    <t>AN0264</t>
  </si>
  <si>
    <t>AN1034</t>
  </si>
  <si>
    <t>AN1035</t>
  </si>
  <si>
    <t>AN1036</t>
  </si>
  <si>
    <t>AN1037</t>
  </si>
  <si>
    <t>AN1038</t>
  </si>
  <si>
    <t>AN1039</t>
  </si>
  <si>
    <t>AN1040</t>
  </si>
  <si>
    <t>AN1041</t>
  </si>
  <si>
    <t>AN1042</t>
  </si>
  <si>
    <t>AN1043</t>
  </si>
  <si>
    <t>AN1044</t>
  </si>
  <si>
    <t>AN1045</t>
  </si>
  <si>
    <t>AN1046</t>
  </si>
  <si>
    <t>AN1047</t>
  </si>
  <si>
    <t>AN1048</t>
  </si>
  <si>
    <t>AN1049</t>
  </si>
  <si>
    <t>AN1050</t>
  </si>
  <si>
    <t>AN1051</t>
  </si>
  <si>
    <t>AN1052</t>
  </si>
  <si>
    <t>AN1053</t>
  </si>
  <si>
    <t>AN1054</t>
  </si>
  <si>
    <t>AN1055</t>
  </si>
  <si>
    <t>AN1056</t>
  </si>
  <si>
    <t>AN1057</t>
  </si>
  <si>
    <t>AN1058</t>
  </si>
  <si>
    <t>AN1059</t>
  </si>
  <si>
    <t>AN1060</t>
  </si>
  <si>
    <t>AN1061</t>
  </si>
  <si>
    <t>AN1062</t>
  </si>
  <si>
    <t>AN1063</t>
  </si>
  <si>
    <t>AN1064</t>
  </si>
  <si>
    <t>Temporizador ON DELAY a 240 voltios con su base, Dinway Timer</t>
  </si>
  <si>
    <t>Rele termico, rango de corriente 48-65 amperes. Himel</t>
  </si>
  <si>
    <t>Rele termico, rango de corriente 30-40 amperes. Himel</t>
  </si>
  <si>
    <t>Rele termico, rango de corriente 37-50 amperes. Himel</t>
  </si>
  <si>
    <t>Contactores Trisfasico de 65 amperes a 220 Amperes, Himel</t>
  </si>
  <si>
    <t>Contactores Trisfasico de 50 amperes a 220 Amperes. Himel</t>
  </si>
  <si>
    <t>Monitor de fase rango de 190 a 480 voltios</t>
  </si>
  <si>
    <t>Cemento de contacto amarillo, latas de 1/4 galon</t>
  </si>
  <si>
    <t>Latas</t>
  </si>
  <si>
    <t>Cinta metrica de 5 M/16 pie</t>
  </si>
  <si>
    <t>Herramientas</t>
  </si>
  <si>
    <t>Disco de corte turbo para pulidora, 4 1/2 ceramica</t>
  </si>
  <si>
    <t>Soldador de estaño de 100 W tipo lapiz</t>
  </si>
  <si>
    <t>Tarugo de 1/4 x 2 color verde</t>
  </si>
  <si>
    <t>Tarugo de 5/16 x 2 color azul</t>
  </si>
  <si>
    <t>Tarugo de 3/8 x 2 color mamey</t>
  </si>
  <si>
    <t>Tornillo diablito fino de 8 x 2.5</t>
  </si>
  <si>
    <t>Tornillo diablito fino de 1/2 x 6</t>
  </si>
  <si>
    <t>Varilla de acero 3/8 x 20</t>
  </si>
  <si>
    <t>Quintales</t>
  </si>
  <si>
    <t>AN1065</t>
  </si>
  <si>
    <t>AN1066</t>
  </si>
  <si>
    <t>AN1067</t>
  </si>
  <si>
    <t>AN1068</t>
  </si>
  <si>
    <t>Esmeril Ultra Grueso, 3 M</t>
  </si>
  <si>
    <t>Manguera de lavamano de metal 3/8 x 12</t>
  </si>
  <si>
    <t>Kit para inodoros, Kit tanques para inodoros, valvula de llenado, valvula de entrada doble y accesorios, Famal</t>
  </si>
  <si>
    <t>Boquilla para lavamano 1 1/4, cromada  Medida Estandar</t>
  </si>
  <si>
    <t>Ferre Automotriz, Power Rider, galon</t>
  </si>
  <si>
    <t>Vitamina K 10 MG, solucion inyenctable</t>
  </si>
  <si>
    <t>AN1069</t>
  </si>
  <si>
    <t>AN1070</t>
  </si>
  <si>
    <t>AN1071</t>
  </si>
  <si>
    <t>AN1072</t>
  </si>
  <si>
    <t>AN1073</t>
  </si>
  <si>
    <t>Guante de proteccion Grerse Monkey pares</t>
  </si>
  <si>
    <t>Hilo redonde para debrozadora de 2.7mm, Truper</t>
  </si>
  <si>
    <t>Tie wrap 4x 300, Nylon, color Blanco</t>
  </si>
  <si>
    <t>Tie wrap 5 x 250 MM, Rudo, color Blanco</t>
  </si>
  <si>
    <t>Tie wrap 8 x 300, Nylon color Negro</t>
  </si>
  <si>
    <t>Tie wrap 8 x 500 Nylon color Negro</t>
  </si>
  <si>
    <t xml:space="preserve">Tie wrap  3.6 x 12 </t>
  </si>
  <si>
    <t>Tie wrap 400 x 4.8, color negro</t>
  </si>
  <si>
    <t>Candado de 700mm INECO</t>
  </si>
  <si>
    <t>Lona plastica 3.6m x 4.8m gris</t>
  </si>
  <si>
    <t>Torobon azul</t>
  </si>
  <si>
    <t>AN1074</t>
  </si>
  <si>
    <t>AN1075</t>
  </si>
  <si>
    <t>AN1076</t>
  </si>
  <si>
    <t>Tie wrap 400 x 4.8 x 450. 0mm color negro PQ</t>
  </si>
  <si>
    <t>Cheque vertical de 2 pulgadas bronce</t>
  </si>
  <si>
    <t>Valvula de bronce de 2 pulgadas</t>
  </si>
  <si>
    <t>Clear West</t>
  </si>
  <si>
    <t>Marcador permanente negro Artline</t>
  </si>
  <si>
    <t>Careta Snorkel</t>
  </si>
  <si>
    <t>Guante de buceo, Size XL</t>
  </si>
  <si>
    <t>Guante de buceo, Size L</t>
  </si>
  <si>
    <t>Guante de buceo, Size M</t>
  </si>
  <si>
    <t>Guante de buceo, Size S</t>
  </si>
  <si>
    <t>Wet Suit para hombre M</t>
  </si>
  <si>
    <t>Wet Suit para hombre L</t>
  </si>
  <si>
    <t>Wet Suit para hombre XL</t>
  </si>
  <si>
    <t>Wet Suit para hombre 2XL</t>
  </si>
  <si>
    <t>Wet Suit para hombre 3XL</t>
  </si>
  <si>
    <t>Regulador completo, con bota y maguera del chaleco</t>
  </si>
  <si>
    <t>Regulador completo de buceo, con bota y maguera de 50 pulg. Con 2da etapa</t>
  </si>
  <si>
    <t>Libretas impermeables 3 x 5 Pulg. Resistente al agua</t>
  </si>
  <si>
    <t>Chapaletas de buceo size XL</t>
  </si>
  <si>
    <t>Straps para chapaletas de buceo</t>
  </si>
  <si>
    <t>Papeleria</t>
  </si>
  <si>
    <t>Impermeabilizante cano Elastomaster 5 GL</t>
  </si>
  <si>
    <t xml:space="preserve">Kit de aventura GOPRO 3.0 </t>
  </si>
  <si>
    <t xml:space="preserve">Toner HP 206 x negro </t>
  </si>
  <si>
    <t>Toner HP 206 x Magenta</t>
  </si>
  <si>
    <t>Toner HP 206 x Cyan</t>
  </si>
  <si>
    <t>Toner HP 206 x Amarillo</t>
  </si>
  <si>
    <t>Pesas plomo de 2 lbs</t>
  </si>
  <si>
    <t>Pesas plomo de 3 lbs</t>
  </si>
  <si>
    <t>Cinturon de pesas con hebilla 4</t>
  </si>
  <si>
    <t>Botas Mares Flexa size 8</t>
  </si>
  <si>
    <t>Botas Mares Flexa size 9</t>
  </si>
  <si>
    <t>Botas Mares Flexa size 10</t>
  </si>
  <si>
    <t>Botas Mares Flexa size 11</t>
  </si>
  <si>
    <t>Botas Mares Flexa size 12</t>
  </si>
  <si>
    <t>Boquilla negra Trident</t>
  </si>
  <si>
    <t>Chapaleta Cressi pro light S-M</t>
  </si>
  <si>
    <t>Chapaleta Cressi pro light M-L</t>
  </si>
  <si>
    <t>Chapaleta Cressi pro light XXL</t>
  </si>
  <si>
    <t>Hebilla plastica negra</t>
  </si>
  <si>
    <t>Filtro Bauer de toma de aire</t>
  </si>
  <si>
    <t>Filtro de aire para compresor de aire Bauer pequeño</t>
  </si>
  <si>
    <t>Bateria computadora para computadora de buceo, CR2430</t>
  </si>
  <si>
    <t>Breaker 20 AMP 1P Europeo Energypro (10/1)</t>
  </si>
  <si>
    <t>Panel Led 2x2 40W 6000K ROOMLUX</t>
  </si>
  <si>
    <t>Suministro de Informatica</t>
  </si>
  <si>
    <t>AN1077</t>
  </si>
  <si>
    <t>AN1078</t>
  </si>
  <si>
    <t>AN1079</t>
  </si>
  <si>
    <t>AN1080</t>
  </si>
  <si>
    <t>AN1081</t>
  </si>
  <si>
    <t>AN1082</t>
  </si>
  <si>
    <t>AN1083</t>
  </si>
  <si>
    <t>AN1084</t>
  </si>
  <si>
    <t>AN1085</t>
  </si>
  <si>
    <t>AN1086</t>
  </si>
  <si>
    <t>AN1087</t>
  </si>
  <si>
    <t>AN1088</t>
  </si>
  <si>
    <t>AN1089</t>
  </si>
  <si>
    <t>AN1090</t>
  </si>
  <si>
    <t>AN1091</t>
  </si>
  <si>
    <t>AN1092</t>
  </si>
  <si>
    <t>AN1093</t>
  </si>
  <si>
    <t>AN1094</t>
  </si>
  <si>
    <t>AN1095</t>
  </si>
  <si>
    <t>AN1096</t>
  </si>
  <si>
    <t>AN1097</t>
  </si>
  <si>
    <t>AN1098</t>
  </si>
  <si>
    <t>AN1099</t>
  </si>
  <si>
    <t>AN1100</t>
  </si>
  <si>
    <t>AN1101</t>
  </si>
  <si>
    <t>AN1102</t>
  </si>
  <si>
    <t>AN1103</t>
  </si>
  <si>
    <t>AN1104</t>
  </si>
  <si>
    <t>AN1105</t>
  </si>
  <si>
    <t>AN1106</t>
  </si>
  <si>
    <t>AN1107</t>
  </si>
  <si>
    <t>AN1108</t>
  </si>
  <si>
    <t>AN1109</t>
  </si>
  <si>
    <t>AN1110</t>
  </si>
  <si>
    <t>AN1111</t>
  </si>
  <si>
    <t>AN1112</t>
  </si>
  <si>
    <t>AN1113</t>
  </si>
  <si>
    <t>AN1114</t>
  </si>
  <si>
    <t>AN1115</t>
  </si>
  <si>
    <t>AN1116</t>
  </si>
  <si>
    <t>AN1117</t>
  </si>
  <si>
    <t>AN1118</t>
  </si>
  <si>
    <t>AN1119</t>
  </si>
  <si>
    <t>AN1120</t>
  </si>
  <si>
    <t>AN1121</t>
  </si>
  <si>
    <t>Contenedores de muestra, Bluescross tapa blanca 4oz/ 120cc</t>
  </si>
  <si>
    <t>Cuadernos de actividades  para niños</t>
  </si>
  <si>
    <t>Alimentos engorde para aves, sacos de 50 LBS</t>
  </si>
  <si>
    <t xml:space="preserve">Faja lumbar truper L </t>
  </si>
  <si>
    <t xml:space="preserve">Faja lumbar truper M </t>
  </si>
  <si>
    <t xml:space="preserve">Faja lumbar truper XL </t>
  </si>
  <si>
    <t>AN1122</t>
  </si>
  <si>
    <t>AN1123</t>
  </si>
  <si>
    <t>AN1124</t>
  </si>
  <si>
    <t>AN1125</t>
  </si>
  <si>
    <t>AN1126</t>
  </si>
  <si>
    <t>AN1127</t>
  </si>
  <si>
    <t>AN1128</t>
  </si>
  <si>
    <t>AN1129</t>
  </si>
  <si>
    <t>16/6/2025</t>
  </si>
  <si>
    <r>
      <t>Guantes Quirurgicos (</t>
    </r>
    <r>
      <rPr>
        <b/>
        <sz val="16"/>
        <color theme="1"/>
        <rFont val="Times New Roman"/>
        <family val="1"/>
      </rPr>
      <t>Mecd</t>
    </r>
    <r>
      <rPr>
        <sz val="16"/>
        <color theme="1"/>
        <rFont val="Times New Roman"/>
        <family val="1"/>
      </rPr>
      <t xml:space="preserve">) </t>
    </r>
    <r>
      <rPr>
        <b/>
        <sz val="16"/>
        <color theme="1"/>
        <rFont val="Times New Roman"/>
        <family val="1"/>
      </rPr>
      <t>S</t>
    </r>
  </si>
  <si>
    <t>13/6/2025</t>
  </si>
  <si>
    <t>Botas dieléctricas, size 42 (Robusta)</t>
  </si>
  <si>
    <t>Botas dieléctricas, size 41 (Robusta)</t>
  </si>
  <si>
    <t>Botas dieléctricas, size 40 (Robusta)</t>
  </si>
  <si>
    <t>Tapa ciega eléctrica, 2x4, plástica, blanca (TradeMaster)</t>
  </si>
  <si>
    <t>Roseta de porcelana blanca, sin cadena, redonda, 660W, 127/250V (Leviton)</t>
  </si>
  <si>
    <t>Reflector Led de 100W, IP16, tipo plano, 3,000K, 120V (Wellmax)</t>
  </si>
  <si>
    <t>Interruptores sencillos de 15A color blanco (Oprow)</t>
  </si>
  <si>
    <t>Interruptores doble de 15A, color blanco (Oprow)</t>
  </si>
  <si>
    <t>Canaletas plasticas de 1/2x6  Con adhesivo, 1 vía, 2 metros</t>
  </si>
  <si>
    <t>Alambre milimétrico #14: Rollos de 500 pies. Negro</t>
  </si>
  <si>
    <t>Alambre milimétrico #6: Rollos de 500 pies. Blanco</t>
  </si>
  <si>
    <t>Cuenta Presupuestaria</t>
  </si>
  <si>
    <t>2.3.6.3.04</t>
  </si>
  <si>
    <t>2.3.6.3.06</t>
  </si>
  <si>
    <t>2.3.9.9.04</t>
  </si>
  <si>
    <t>2.3.9.8.02</t>
  </si>
  <si>
    <t>2.3.7.2.99</t>
  </si>
  <si>
    <t>Fuente</t>
  </si>
  <si>
    <t>2.3.6.4.06</t>
  </si>
  <si>
    <t>2.3.2.1.01</t>
  </si>
  <si>
    <t>2.3.7.2.06</t>
  </si>
  <si>
    <t>2.3.9.9.05</t>
  </si>
  <si>
    <t>2.3.72.2.99</t>
  </si>
  <si>
    <t>2.3.6.1.01</t>
  </si>
  <si>
    <t>2.33.7.2.06</t>
  </si>
  <si>
    <t>AN1130</t>
  </si>
  <si>
    <t>AN1131</t>
  </si>
  <si>
    <t>AN1132</t>
  </si>
  <si>
    <t>AN1133</t>
  </si>
  <si>
    <t>AN1134</t>
  </si>
  <si>
    <t>Caja Breaker 30 circuitos 200A 3PH</t>
  </si>
  <si>
    <t>23/6/2025</t>
  </si>
  <si>
    <t>Caja Breaker 1F N1 12-24C 125AMP</t>
  </si>
  <si>
    <t>AN1135</t>
  </si>
  <si>
    <t>AN1136</t>
  </si>
  <si>
    <t>AN1137</t>
  </si>
  <si>
    <t>AN1138</t>
  </si>
  <si>
    <t>Alicate corte diagonal 8'' STANLEY (pinza)</t>
  </si>
  <si>
    <t>Tomacorriente doble de 110V, color blanco, 12A, 2P</t>
  </si>
  <si>
    <t>Tubo FL. F-32 T-8 6500K E, 32W</t>
  </si>
  <si>
    <t>AN1139</t>
  </si>
  <si>
    <t>AN1140</t>
  </si>
  <si>
    <t>Tomacorriente doble 15A/125V, con puerto USB</t>
  </si>
  <si>
    <t>AN1141</t>
  </si>
  <si>
    <t>AN1142</t>
  </si>
  <si>
    <t>AN1143</t>
  </si>
  <si>
    <t>AN1144</t>
  </si>
  <si>
    <t>AN1145</t>
  </si>
  <si>
    <t>AN1146</t>
  </si>
  <si>
    <t>AN1147</t>
  </si>
  <si>
    <t>AN1148</t>
  </si>
  <si>
    <t>AN1149</t>
  </si>
  <si>
    <t>AN1150</t>
  </si>
  <si>
    <t>AN1151</t>
  </si>
  <si>
    <t>AN1152</t>
  </si>
  <si>
    <t>AN1153</t>
  </si>
  <si>
    <t>AN1154</t>
  </si>
  <si>
    <t>AN1155</t>
  </si>
  <si>
    <t>AN1156</t>
  </si>
  <si>
    <t>AN1157</t>
  </si>
  <si>
    <t>AN1158</t>
  </si>
  <si>
    <t>AN1159</t>
  </si>
  <si>
    <t>AN1160</t>
  </si>
  <si>
    <t>AN1161</t>
  </si>
  <si>
    <t>AN1162</t>
  </si>
  <si>
    <t>AN1163</t>
  </si>
  <si>
    <t>AN1165</t>
  </si>
  <si>
    <t>AN1166</t>
  </si>
  <si>
    <t>Regletas de 6 tomas, plásticas, 110/120V, 15A</t>
  </si>
  <si>
    <t xml:space="preserve">Tubería Liquid Tight 3/4, flexible, color gris, rollo de 100 pies </t>
  </si>
  <si>
    <t>Conector Liquid Tight 3/4 recto, plastico (para manguera)</t>
  </si>
  <si>
    <t>Conector Liquid Tight 3/4 curvo, plastico (para manguera)</t>
  </si>
  <si>
    <t>Cajas electricas 2x4, en metal, reforzada, salida de 3/4</t>
  </si>
  <si>
    <t>Equipo de protección y seguridad</t>
  </si>
  <si>
    <t>Juego de destornilladores</t>
  </si>
  <si>
    <t>18/6/2025</t>
  </si>
  <si>
    <t>Señal de piso mojado, medidas, 0,62 x 0.30 m, plasticos, plegables, color amarillo</t>
  </si>
  <si>
    <t>Soga Nylon 6.35mm (1/4) x 183m, color blanco</t>
  </si>
  <si>
    <t>2.3.9.9.01</t>
  </si>
  <si>
    <t>2.3.9.2.01</t>
  </si>
  <si>
    <t>2.3.3.1.01</t>
  </si>
  <si>
    <t>2.3.9.5.01</t>
  </si>
  <si>
    <t>2.3.3.2.01</t>
  </si>
  <si>
    <t>2.3.1.1.01</t>
  </si>
  <si>
    <t>2.3.1.2.01</t>
  </si>
  <si>
    <t>Pila Duracell AA</t>
  </si>
  <si>
    <t>Pila Duracell AAA UND.</t>
  </si>
  <si>
    <t>Pila ProCell AA,  und.</t>
  </si>
  <si>
    <t>2.3.9.6.01</t>
  </si>
  <si>
    <t>Alicate de presión recto de 10 (Vsle-Glip)</t>
  </si>
  <si>
    <t>Abrazadera de 3/4, Alta presión</t>
  </si>
  <si>
    <t>Alicate mecanico de 10 (Beno)</t>
  </si>
  <si>
    <t>Arandela plana de tornillo de 3/8</t>
  </si>
  <si>
    <t>3.2.9.8.02</t>
  </si>
  <si>
    <t>Tie wrap 250 x 3.6mm/6, color negro</t>
  </si>
  <si>
    <t>Tie wrap 200 x 2.5mm/8, color negro</t>
  </si>
  <si>
    <t>Tie wrap 500 x 7.2mm/20, color negro</t>
  </si>
  <si>
    <t>Candado de 50mm (Kimboor)</t>
  </si>
  <si>
    <t>Candado de 60mm (Beno)</t>
  </si>
  <si>
    <t>Cincel Plano 3/4 x 10 (Ben)</t>
  </si>
  <si>
    <t>Cincel Punta 3/4 x 12 (Ben)</t>
  </si>
  <si>
    <t>Cinta antiresbalante negra, 50mm x 5m (Rollos)</t>
  </si>
  <si>
    <t>Central salidas (difusor de aire) de 3/4 x 2 x 15mm</t>
  </si>
  <si>
    <t>2.3.9.8.01</t>
  </si>
  <si>
    <t>Soldadura Estaño 60/40 (1mm de diametro)</t>
  </si>
  <si>
    <t>Juego de barrena de concreto,diametro 3/8 x 12</t>
  </si>
  <si>
    <t>Juego de barrena de concreto,diametro 1/2 x 12</t>
  </si>
  <si>
    <t>Juego de barrena de concreto,diametro 5/8 x 8</t>
  </si>
  <si>
    <t>Lona plástica de 18x12 azul (NAVYTarpaulin)</t>
  </si>
  <si>
    <t>Lona plástica de 14x18 azul (Heavy Duty Tarp)</t>
  </si>
  <si>
    <t>Plana de albañil de 10, 250mm</t>
  </si>
  <si>
    <t>Tornillo diablito fino de 8 x 1.5</t>
  </si>
  <si>
    <t>Tornillo diablito fino de 6 x 3/4</t>
  </si>
  <si>
    <t>Bisagras invisible corta C/L de 35mm</t>
  </si>
  <si>
    <t>Bisagras invisible recta C/L de 35mm</t>
  </si>
  <si>
    <t>Lapiz de carbon Hbnoz, Pointer</t>
  </si>
  <si>
    <t>Cloro en tabletas Limar</t>
  </si>
  <si>
    <t>AN1167</t>
  </si>
  <si>
    <t>AN1168</t>
  </si>
  <si>
    <t>AN1169</t>
  </si>
  <si>
    <t>AN1170</t>
  </si>
  <si>
    <t>AN1171</t>
  </si>
  <si>
    <t>AN1172</t>
  </si>
  <si>
    <t>AN1173</t>
  </si>
  <si>
    <t>AN1174</t>
  </si>
  <si>
    <t>AN1175</t>
  </si>
  <si>
    <t>AN1176</t>
  </si>
  <si>
    <t>AN0978</t>
  </si>
  <si>
    <t>2.3.7.1.05</t>
  </si>
  <si>
    <t>2.37.1.05</t>
  </si>
  <si>
    <t>2.3.4.1.01</t>
  </si>
  <si>
    <t>2.3.7.2.9.9</t>
  </si>
  <si>
    <t>2.3.9.1.01</t>
  </si>
  <si>
    <t>2.3.9.2.0.01</t>
  </si>
  <si>
    <t>2.3.9.3.01</t>
  </si>
  <si>
    <t>Señalizacion de Baño derecha</t>
  </si>
  <si>
    <t>2.3.2.3.01</t>
  </si>
  <si>
    <t>2.3.9.6.0.1</t>
  </si>
  <si>
    <t>2.3.1.3.02</t>
  </si>
  <si>
    <r>
      <t xml:space="preserve">Señalizacion, Ruta de Evacuación a la derecha </t>
    </r>
    <r>
      <rPr>
        <b/>
        <sz val="16"/>
        <color theme="1"/>
        <rFont val="Times New Roman"/>
        <family val="1"/>
      </rPr>
      <t>(letrero)</t>
    </r>
  </si>
  <si>
    <r>
      <t xml:space="preserve">Señalizacion Ruta de Evacuacion a la izquierda </t>
    </r>
    <r>
      <rPr>
        <b/>
        <sz val="16"/>
        <color theme="1"/>
        <rFont val="Times New Roman"/>
        <family val="1"/>
      </rPr>
      <t>(letrero)</t>
    </r>
  </si>
  <si>
    <t xml:space="preserve">Señalizacion de Salida </t>
  </si>
  <si>
    <t>Señalizacion de, Salida de emergencia</t>
  </si>
  <si>
    <t>Soga driza de 1/2, color blanco, rollo de 1000 metros</t>
  </si>
  <si>
    <t>Metros</t>
  </si>
  <si>
    <t>Bisagra de gabinetes</t>
  </si>
  <si>
    <t>AN0249</t>
  </si>
  <si>
    <t>AN0291</t>
  </si>
  <si>
    <t>AN0903</t>
  </si>
  <si>
    <t>AN1017</t>
  </si>
  <si>
    <t>AN1164</t>
  </si>
  <si>
    <t>Señalizacion de  Baño izquierda</t>
  </si>
  <si>
    <t>Tornillo diablito fino de 6x2, cajas de 1000 unidades</t>
  </si>
  <si>
    <t>Tornillo diablito fino de 6 x 1, caja de 100 unidades</t>
  </si>
  <si>
    <t>2.3.7.2.03</t>
  </si>
  <si>
    <t>Rollo</t>
  </si>
  <si>
    <t>Señalizacion No pase sin autorización</t>
  </si>
  <si>
    <t>Llave de paso plastica, bola 1 PVC</t>
  </si>
  <si>
    <t>Llave de paso plastica, bola 1/2 PVC</t>
  </si>
  <si>
    <t>Llave de paso plastica, bola 2 PVC</t>
  </si>
  <si>
    <t>2.3.5.5.01</t>
  </si>
  <si>
    <t>Señalizacion Punto de encuentro</t>
  </si>
  <si>
    <t>2.3.9.4.01</t>
  </si>
  <si>
    <t>2.3.2.2.01</t>
  </si>
  <si>
    <t>Señalizacion Peligro (riesgo electrico)</t>
  </si>
  <si>
    <t>2.3.9.4.04</t>
  </si>
  <si>
    <t>botas</t>
  </si>
  <si>
    <t>2.3.9.8-01</t>
  </si>
  <si>
    <t>2.3.6.3.02</t>
  </si>
  <si>
    <t>Aros de goma (O-RING 014) para buceo</t>
  </si>
  <si>
    <t>2.3.6.4.04</t>
  </si>
  <si>
    <t>Alambre milimetro No. 12 color blanco, 2.5MM, Rollos de 500 pies</t>
  </si>
  <si>
    <t>AN1177</t>
  </si>
  <si>
    <t>2.3.4.6.01</t>
  </si>
  <si>
    <t>Pies</t>
  </si>
  <si>
    <t>AN1178</t>
  </si>
  <si>
    <t>AN1179</t>
  </si>
  <si>
    <t>AN1180</t>
  </si>
  <si>
    <t>AN1181</t>
  </si>
  <si>
    <t>AN1182</t>
  </si>
  <si>
    <t>AN1183</t>
  </si>
  <si>
    <t>AN1184</t>
  </si>
  <si>
    <t>Alambre milimetro # 2 color rojo, 2.5MM, Rollos de 500 pies</t>
  </si>
  <si>
    <t>Alambre milimetro #12 color rojo, 2.5MM, Rollos de 500 pies</t>
  </si>
  <si>
    <t>Alambre milimetro # 8 color negro, 2.5MM, Rollos de 500 pies</t>
  </si>
  <si>
    <t>Alambre milimetro # 8 color blanco, 2.5MM, Rollos de 500 pies</t>
  </si>
  <si>
    <t>Alambre milimétrico #6: Rollos de 500 pies. Negro</t>
  </si>
  <si>
    <t>Alambre de goma 12/2 Rollo de 500 pies</t>
  </si>
  <si>
    <t>Alambre de goma 12/3 Rollo de 500 pies</t>
  </si>
  <si>
    <t>Bombillo Led de 20W: Luz blanca, 110V tipo bulbo</t>
  </si>
  <si>
    <t>UD</t>
  </si>
  <si>
    <t>Breaker doble grueso de 30 amperes, 2 polo</t>
  </si>
  <si>
    <t>Cajas Eléctricas 2x4, plásticas, para canaletas, color blanco</t>
  </si>
  <si>
    <t>Conduflex de 3/4, manguera plastica, color negro de 100 pies</t>
  </si>
  <si>
    <t>Contactores de 50 amperes a 220, Hynndal</t>
  </si>
  <si>
    <t>Contactores Trisfasico de 50 amperes a 220 Amperes, 3 polos  Himel</t>
  </si>
  <si>
    <t>Pulsador C/Luz Rojo, base metalica, 10A, 3A/240V Himel</t>
  </si>
  <si>
    <t>Cerradura de 2 puños</t>
  </si>
  <si>
    <t>pegamento de ceramica gris (Pegadosa)</t>
  </si>
  <si>
    <t>Cemento gris (Cemel)</t>
  </si>
  <si>
    <t>Arena silica para filtro (Stan Dard Sand)</t>
  </si>
  <si>
    <t>AN0183</t>
  </si>
  <si>
    <t>AN0295</t>
  </si>
  <si>
    <t>AN0306</t>
  </si>
  <si>
    <t>AN0389</t>
  </si>
  <si>
    <t>AN0390</t>
  </si>
  <si>
    <t>AN0391</t>
  </si>
  <si>
    <t>Codigo Institucional</t>
  </si>
  <si>
    <t>Fecha de adquisicion/ registro</t>
  </si>
  <si>
    <t xml:space="preserve">Brebe Descripcion del bien </t>
  </si>
  <si>
    <t>Cantidad Existencia</t>
  </si>
  <si>
    <t>Inventario de Materiales de Suministro 2025</t>
  </si>
  <si>
    <t xml:space="preserve">         Al 30 de Junio 2025</t>
  </si>
  <si>
    <r>
      <t xml:space="preserve">Adaptador Negro - Azul 3 1/4 </t>
    </r>
    <r>
      <rPr>
        <b/>
        <sz val="16"/>
        <rFont val="Times New Roman"/>
        <family val="1"/>
      </rPr>
      <t xml:space="preserve">Donacion </t>
    </r>
  </si>
  <si>
    <r>
      <t xml:space="preserve">Codo negro -  azul 3 1/4 </t>
    </r>
    <r>
      <rPr>
        <b/>
        <sz val="16"/>
        <rFont val="Times New Roman"/>
        <family val="1"/>
      </rPr>
      <t xml:space="preserve">Donacion </t>
    </r>
  </si>
  <si>
    <r>
      <t xml:space="preserve">T de 3 entradas negra -  azul, </t>
    </r>
    <r>
      <rPr>
        <b/>
        <sz val="16"/>
        <rFont val="Times New Roman"/>
        <family val="1"/>
      </rPr>
      <t>Donacion</t>
    </r>
  </si>
  <si>
    <t>Licda. Diana Mejia Rymer</t>
  </si>
  <si>
    <t>Enc. Division de contabilidad</t>
  </si>
  <si>
    <t xml:space="preserve">Feha Aquisicion / Registro </t>
  </si>
  <si>
    <t>Breve Descripcion del Bien</t>
  </si>
  <si>
    <t xml:space="preserve">Existencia </t>
  </si>
  <si>
    <t>Precio Unitario</t>
  </si>
  <si>
    <t>1,031,500,00</t>
  </si>
  <si>
    <t>2,273,624,500,00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</si>
</sst>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Times New Roman"/>
      <family val="1"/>
    </font>
    <font>
      <sz val="16"/>
      <name val="Times New Roman"/>
      <family val="1"/>
    </font>
    <font>
      <b/>
      <sz val="16"/>
      <color theme="1"/>
      <name val="Times New Roman"/>
      <family val="1"/>
    </font>
    <font>
      <u/>
      <sz val="16"/>
      <color theme="1"/>
      <name val="Times New Roman"/>
      <family val="1"/>
    </font>
    <font>
      <sz val="16"/>
      <color rgb="FF000000"/>
      <name val="Times New Roman"/>
      <family val="1"/>
    </font>
    <font>
      <b/>
      <sz val="16"/>
      <name val="Times New Roman"/>
      <family val="1"/>
    </font>
    <font>
      <b/>
      <u val="doubleAccounting"/>
      <sz val="16"/>
      <color theme="1"/>
      <name val="Times New Roman"/>
      <family val="1"/>
    </font>
    <font>
      <b/>
      <i/>
      <sz val="16"/>
      <color theme="1"/>
      <name val="Times New Roman"/>
      <family val="1"/>
    </font>
    <font>
      <b/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2BBFA"/>
        <bgColor indexed="64"/>
      </patternFill>
    </fill>
    <fill>
      <patternFill patternType="solid">
        <fgColor rgb="FF99CC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14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wrapText="1"/>
    </xf>
    <xf numFmtId="43" fontId="3" fillId="0" borderId="0" xfId="1" applyFont="1" applyFill="1" applyBorder="1"/>
    <xf numFmtId="0" fontId="3" fillId="2" borderId="1" xfId="0" applyFont="1" applyFill="1" applyBorder="1" applyAlignment="1">
      <alignment horizontal="center"/>
    </xf>
    <xf numFmtId="43" fontId="3" fillId="2" borderId="1" xfId="1" applyFont="1" applyFill="1" applyBorder="1"/>
    <xf numFmtId="0" fontId="4" fillId="2" borderId="1" xfId="0" applyFont="1" applyFill="1" applyBorder="1" applyAlignment="1">
      <alignment wrapText="1"/>
    </xf>
    <xf numFmtId="0" fontId="3" fillId="2" borderId="0" xfId="0" applyFont="1" applyFill="1"/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3" fillId="0" borderId="1" xfId="0" applyFont="1" applyBorder="1"/>
    <xf numFmtId="0" fontId="3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wrapText="1"/>
    </xf>
    <xf numFmtId="14" fontId="3" fillId="2" borderId="1" xfId="0" applyNumberFormat="1" applyFont="1" applyFill="1" applyBorder="1"/>
    <xf numFmtId="14" fontId="3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43" fontId="5" fillId="0" borderId="0" xfId="1" applyFont="1" applyFill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43" fontId="5" fillId="0" borderId="0" xfId="1" applyFont="1" applyFill="1" applyAlignment="1"/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right"/>
    </xf>
    <xf numFmtId="43" fontId="9" fillId="0" borderId="0" xfId="0" applyNumberFormat="1" applyFont="1"/>
    <xf numFmtId="43" fontId="4" fillId="0" borderId="0" xfId="1" applyFont="1" applyFill="1" applyAlignment="1"/>
    <xf numFmtId="0" fontId="3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43" fontId="3" fillId="2" borderId="1" xfId="0" applyNumberFormat="1" applyFont="1" applyFill="1" applyBorder="1"/>
    <xf numFmtId="43" fontId="5" fillId="2" borderId="0" xfId="0" applyNumberFormat="1" applyFont="1" applyFill="1"/>
    <xf numFmtId="43" fontId="3" fillId="0" borderId="0" xfId="1" applyFont="1" applyFill="1"/>
    <xf numFmtId="0" fontId="4" fillId="0" borderId="0" xfId="0" applyFont="1" applyAlignment="1">
      <alignment horizontal="left" wrapText="1"/>
    </xf>
    <xf numFmtId="43" fontId="3" fillId="0" borderId="0" xfId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3" fontId="3" fillId="2" borderId="0" xfId="0" applyNumberFormat="1" applyFont="1" applyFill="1"/>
    <xf numFmtId="14" fontId="3" fillId="2" borderId="1" xfId="0" applyNumberFormat="1" applyFont="1" applyFill="1" applyBorder="1" applyAlignment="1">
      <alignment vertical="center" wrapText="1"/>
    </xf>
    <xf numFmtId="43" fontId="3" fillId="2" borderId="0" xfId="1" applyFont="1" applyFill="1" applyBorder="1"/>
    <xf numFmtId="0" fontId="4" fillId="2" borderId="0" xfId="0" applyFont="1" applyFill="1" applyAlignment="1">
      <alignment wrapText="1"/>
    </xf>
    <xf numFmtId="0" fontId="3" fillId="2" borderId="1" xfId="0" applyFont="1" applyFill="1" applyBorder="1"/>
    <xf numFmtId="43" fontId="5" fillId="0" borderId="0" xfId="1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wrapText="1"/>
    </xf>
    <xf numFmtId="43" fontId="3" fillId="0" borderId="0" xfId="0" applyNumberFormat="1" applyFont="1"/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wrapText="1"/>
    </xf>
    <xf numFmtId="14" fontId="3" fillId="2" borderId="0" xfId="0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wrapText="1"/>
    </xf>
    <xf numFmtId="0" fontId="14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43" fontId="13" fillId="2" borderId="0" xfId="1" applyFont="1" applyFill="1" applyBorder="1"/>
    <xf numFmtId="0" fontId="15" fillId="2" borderId="0" xfId="0" applyFont="1" applyFill="1" applyBorder="1"/>
    <xf numFmtId="0" fontId="15" fillId="2" borderId="0" xfId="0" applyFont="1" applyFill="1" applyBorder="1" applyAlignment="1">
      <alignment wrapText="1"/>
    </xf>
    <xf numFmtId="4" fontId="16" fillId="2" borderId="0" xfId="0" applyNumberFormat="1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43" fontId="15" fillId="2" borderId="0" xfId="1" applyFont="1" applyFill="1" applyBorder="1"/>
    <xf numFmtId="4" fontId="13" fillId="2" borderId="1" xfId="0" applyNumberFormat="1" applyFont="1" applyFill="1" applyBorder="1" applyAlignment="1">
      <alignment wrapText="1"/>
    </xf>
    <xf numFmtId="0" fontId="13" fillId="2" borderId="1" xfId="0" applyFont="1" applyFill="1" applyBorder="1" applyAlignment="1">
      <alignment horizontal="right" wrapText="1"/>
    </xf>
    <xf numFmtId="0" fontId="5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43" fontId="3" fillId="2" borderId="0" xfId="0" applyNumberFormat="1" applyFont="1" applyFill="1" applyBorder="1"/>
    <xf numFmtId="14" fontId="3" fillId="0" borderId="0" xfId="0" applyNumberFormat="1" applyFont="1" applyBorder="1" applyAlignment="1">
      <alignment horizontal="center"/>
    </xf>
    <xf numFmtId="43" fontId="5" fillId="2" borderId="0" xfId="0" applyNumberFormat="1" applyFont="1" applyFill="1" applyBorder="1"/>
    <xf numFmtId="0" fontId="8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43" fontId="5" fillId="4" borderId="2" xfId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82BBFA"/>
      <color rgb="FF6BAFF9"/>
      <color rgb="FF79F1DD"/>
      <color rgb="FF0099CC"/>
      <color rgb="FF0066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845876</xdr:colOff>
      <xdr:row>1</xdr:row>
      <xdr:rowOff>99747</xdr:rowOff>
    </xdr:from>
    <xdr:to>
      <xdr:col>13</xdr:col>
      <xdr:colOff>1435894</xdr:colOff>
      <xdr:row>3</xdr:row>
      <xdr:rowOff>105039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583C313-0C63-4E40-A79D-CA2F2DCC5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83876" y="607747"/>
          <a:ext cx="3050643" cy="1021292"/>
        </a:xfrm>
        <a:prstGeom prst="rect">
          <a:avLst/>
        </a:prstGeom>
      </xdr:spPr>
    </xdr:pic>
    <xdr:clientData/>
  </xdr:twoCellAnchor>
  <xdr:twoCellAnchor editAs="oneCell">
    <xdr:from>
      <xdr:col>0</xdr:col>
      <xdr:colOff>206375</xdr:colOff>
      <xdr:row>0</xdr:row>
      <xdr:rowOff>349250</xdr:rowOff>
    </xdr:from>
    <xdr:to>
      <xdr:col>1</xdr:col>
      <xdr:colOff>658812</xdr:colOff>
      <xdr:row>2</xdr:row>
      <xdr:rowOff>495814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349250"/>
          <a:ext cx="2198687" cy="1162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02"/>
  <sheetViews>
    <sheetView tabSelected="1" view="pageBreakPreview" zoomScale="60" zoomScaleNormal="60" workbookViewId="0">
      <pane ySplit="5" topLeftCell="A33" activePane="bottomLeft" state="frozen"/>
      <selection pane="bottomLeft" activeCell="M1204" sqref="M1204"/>
    </sheetView>
  </sheetViews>
  <sheetFormatPr baseColWidth="10" defaultColWidth="11.42578125" defaultRowHeight="39.950000000000003" customHeight="1" x14ac:dyDescent="0.3"/>
  <cols>
    <col min="1" max="1" width="26.28515625" style="2" customWidth="1"/>
    <col min="2" max="2" width="32.7109375" style="4" customWidth="1"/>
    <col min="3" max="3" width="0.28515625" style="4" hidden="1" customWidth="1"/>
    <col min="4" max="4" width="22.5703125" style="14" hidden="1" customWidth="1"/>
    <col min="5" max="5" width="59.140625" style="14" customWidth="1"/>
    <col min="6" max="6" width="48.42578125" style="4" hidden="1" customWidth="1"/>
    <col min="7" max="7" width="31" style="2" customWidth="1"/>
    <col min="8" max="8" width="36.5703125" style="2" hidden="1" customWidth="1"/>
    <col min="9" max="9" width="26" style="2" hidden="1" customWidth="1"/>
    <col min="10" max="10" width="30.28515625" style="2" hidden="1" customWidth="1"/>
    <col min="11" max="11" width="30.28515625" style="2" customWidth="1"/>
    <col min="12" max="12" width="24" style="2" hidden="1" customWidth="1"/>
    <col min="13" max="13" width="37" style="45" customWidth="1"/>
    <col min="14" max="14" width="27.85546875" style="45" customWidth="1"/>
    <col min="15" max="15" width="19.42578125" style="45" hidden="1" customWidth="1"/>
    <col min="16" max="16" width="27" style="45" hidden="1" customWidth="1"/>
    <col min="17" max="17" width="28.7109375" style="3" hidden="1" customWidth="1"/>
    <col min="18" max="18" width="16.7109375" style="1" customWidth="1"/>
    <col min="19" max="19" width="29.5703125" style="1" customWidth="1"/>
    <col min="20" max="21" width="11.42578125" style="1"/>
    <col min="22" max="23" width="11.42578125" style="1" customWidth="1"/>
    <col min="24" max="24" width="20.7109375" style="1" customWidth="1"/>
    <col min="25" max="25" width="29.5703125" style="1" customWidth="1"/>
    <col min="26" max="26" width="26" style="1" customWidth="1"/>
    <col min="27" max="27" width="34.7109375" style="1" customWidth="1"/>
    <col min="28" max="28" width="22.7109375" style="1" bestFit="1" customWidth="1"/>
    <col min="29" max="16384" width="11.42578125" style="1"/>
  </cols>
  <sheetData>
    <row r="1" spans="1:17" ht="39.950000000000003" customHeight="1" x14ac:dyDescent="0.3">
      <c r="E1" s="27"/>
      <c r="F1" s="27"/>
      <c r="G1" s="27"/>
      <c r="H1" s="27"/>
      <c r="I1" s="28"/>
      <c r="J1" s="28"/>
      <c r="K1" s="28"/>
      <c r="L1" s="28"/>
      <c r="M1" s="57"/>
      <c r="N1" s="57"/>
      <c r="O1" s="57"/>
      <c r="P1" s="57"/>
      <c r="Q1" s="57"/>
    </row>
    <row r="2" spans="1:17" ht="39.950000000000003" customHeight="1" x14ac:dyDescent="0.3">
      <c r="E2" s="58" t="s">
        <v>2517</v>
      </c>
      <c r="F2" s="58"/>
      <c r="G2" s="58"/>
      <c r="H2" s="58"/>
      <c r="I2" s="58"/>
      <c r="J2" s="58"/>
      <c r="K2" s="58"/>
      <c r="L2" s="27"/>
      <c r="M2" s="57"/>
      <c r="N2" s="57"/>
      <c r="O2" s="57"/>
      <c r="P2" s="57"/>
      <c r="Q2" s="57"/>
    </row>
    <row r="3" spans="1:17" ht="39.950000000000003" customHeight="1" x14ac:dyDescent="0.3">
      <c r="D3" s="30"/>
      <c r="E3" s="58" t="s">
        <v>2518</v>
      </c>
      <c r="F3" s="58"/>
      <c r="G3" s="58"/>
      <c r="H3" s="58"/>
      <c r="I3" s="58"/>
      <c r="J3" s="58"/>
      <c r="K3" s="58"/>
      <c r="L3" s="28"/>
      <c r="M3" s="57"/>
      <c r="N3" s="57"/>
      <c r="O3" s="57"/>
      <c r="P3" s="57"/>
      <c r="Q3" s="57"/>
    </row>
    <row r="4" spans="1:17" ht="39.950000000000003" customHeight="1" x14ac:dyDescent="0.3">
      <c r="E4" s="27"/>
      <c r="F4" s="27"/>
      <c r="G4" s="31"/>
      <c r="H4" s="27"/>
      <c r="I4" s="28"/>
      <c r="J4" s="28"/>
      <c r="K4" s="28"/>
      <c r="L4" s="28"/>
      <c r="M4" s="29"/>
      <c r="N4" s="29"/>
      <c r="O4" s="29"/>
      <c r="P4" s="29"/>
      <c r="Q4" s="32"/>
    </row>
    <row r="5" spans="1:17" s="35" customFormat="1" ht="40.5" customHeight="1" x14ac:dyDescent="0.3">
      <c r="A5" s="59" t="s">
        <v>2513</v>
      </c>
      <c r="B5" s="59" t="s">
        <v>2514</v>
      </c>
      <c r="C5" s="59" t="s">
        <v>2323</v>
      </c>
      <c r="D5" s="60" t="s">
        <v>2317</v>
      </c>
      <c r="E5" s="59" t="s">
        <v>2515</v>
      </c>
      <c r="F5" s="59" t="s">
        <v>1775</v>
      </c>
      <c r="G5" s="59" t="s">
        <v>0</v>
      </c>
      <c r="H5" s="59" t="s">
        <v>1210</v>
      </c>
      <c r="I5" s="59" t="s">
        <v>1</v>
      </c>
      <c r="J5" s="59" t="s">
        <v>1782</v>
      </c>
      <c r="K5" s="59" t="s">
        <v>2516</v>
      </c>
      <c r="L5" s="59" t="s">
        <v>1785</v>
      </c>
      <c r="M5" s="59" t="s">
        <v>1646</v>
      </c>
      <c r="N5" s="59" t="s">
        <v>2</v>
      </c>
      <c r="O5" s="33" t="s">
        <v>1214</v>
      </c>
      <c r="P5" s="33" t="s">
        <v>1213</v>
      </c>
      <c r="Q5" s="34" t="s">
        <v>3</v>
      </c>
    </row>
    <row r="6" spans="1:17" s="11" customFormat="1" ht="40.5" x14ac:dyDescent="0.3">
      <c r="A6" s="18" t="s">
        <v>530</v>
      </c>
      <c r="B6" s="23" t="s">
        <v>4</v>
      </c>
      <c r="C6" s="8"/>
      <c r="D6" s="25" t="s">
        <v>2319</v>
      </c>
      <c r="E6" s="12" t="s">
        <v>1401</v>
      </c>
      <c r="F6" s="18" t="s">
        <v>1776</v>
      </c>
      <c r="G6" s="8">
        <v>19</v>
      </c>
      <c r="H6" s="8"/>
      <c r="I6" s="8">
        <f>4+3</f>
        <v>7</v>
      </c>
      <c r="J6" s="8"/>
      <c r="K6" s="8">
        <f>+G6+H6+-I6</f>
        <v>12</v>
      </c>
      <c r="L6" s="8"/>
      <c r="M6" s="9">
        <v>22.55</v>
      </c>
      <c r="N6" s="9">
        <f t="shared" ref="N6:N39" si="0">+K6*M6</f>
        <v>270.60000000000002</v>
      </c>
      <c r="O6" s="9"/>
      <c r="P6" s="9"/>
      <c r="Q6" s="10" t="s">
        <v>159</v>
      </c>
    </row>
    <row r="7" spans="1:17" s="11" customFormat="1" ht="40.5" x14ac:dyDescent="0.3">
      <c r="A7" s="18" t="s">
        <v>531</v>
      </c>
      <c r="B7" s="23" t="s">
        <v>4</v>
      </c>
      <c r="C7" s="8"/>
      <c r="D7" s="25" t="s">
        <v>2319</v>
      </c>
      <c r="E7" s="12" t="s">
        <v>160</v>
      </c>
      <c r="F7" s="18" t="s">
        <v>1776</v>
      </c>
      <c r="G7" s="8">
        <v>7</v>
      </c>
      <c r="H7" s="8"/>
      <c r="I7" s="8">
        <v>7</v>
      </c>
      <c r="J7" s="8"/>
      <c r="K7" s="8">
        <f>+G7+H7+-I7</f>
        <v>0</v>
      </c>
      <c r="L7" s="8"/>
      <c r="M7" s="9">
        <v>98</v>
      </c>
      <c r="N7" s="9">
        <f t="shared" si="0"/>
        <v>0</v>
      </c>
      <c r="O7" s="9"/>
      <c r="P7" s="9"/>
      <c r="Q7" s="10" t="s">
        <v>159</v>
      </c>
    </row>
    <row r="8" spans="1:17" s="11" customFormat="1" ht="40.5" x14ac:dyDescent="0.3">
      <c r="A8" s="18" t="s">
        <v>532</v>
      </c>
      <c r="B8" s="23" t="s">
        <v>4</v>
      </c>
      <c r="C8" s="8"/>
      <c r="D8" s="25" t="s">
        <v>2319</v>
      </c>
      <c r="E8" s="12" t="s">
        <v>161</v>
      </c>
      <c r="F8" s="18" t="s">
        <v>1776</v>
      </c>
      <c r="G8" s="8">
        <v>36</v>
      </c>
      <c r="H8" s="8"/>
      <c r="I8" s="8"/>
      <c r="J8" s="8"/>
      <c r="K8" s="8">
        <f>+G8+H8+-I8</f>
        <v>36</v>
      </c>
      <c r="L8" s="8"/>
      <c r="M8" s="9">
        <v>7</v>
      </c>
      <c r="N8" s="9">
        <f t="shared" si="0"/>
        <v>252</v>
      </c>
      <c r="O8" s="9"/>
      <c r="P8" s="9"/>
      <c r="Q8" s="10" t="s">
        <v>159</v>
      </c>
    </row>
    <row r="9" spans="1:17" s="11" customFormat="1" ht="20.25" x14ac:dyDescent="0.3">
      <c r="A9" s="18" t="s">
        <v>533</v>
      </c>
      <c r="B9" s="19">
        <v>45783</v>
      </c>
      <c r="C9" s="20">
        <v>10</v>
      </c>
      <c r="D9" s="25" t="s">
        <v>2319</v>
      </c>
      <c r="E9" s="12" t="s">
        <v>2396</v>
      </c>
      <c r="F9" s="18" t="s">
        <v>1776</v>
      </c>
      <c r="G9" s="8"/>
      <c r="H9" s="8">
        <v>100</v>
      </c>
      <c r="I9" s="8"/>
      <c r="J9" s="8"/>
      <c r="K9" s="8">
        <f>+G9+H9-I9+J9</f>
        <v>100</v>
      </c>
      <c r="L9" s="8"/>
      <c r="M9" s="9">
        <v>147.5</v>
      </c>
      <c r="N9" s="9">
        <f t="shared" si="0"/>
        <v>14750</v>
      </c>
      <c r="O9" s="9"/>
      <c r="P9" s="9"/>
      <c r="Q9" s="10" t="s">
        <v>25</v>
      </c>
    </row>
    <row r="10" spans="1:17" s="11" customFormat="1" ht="40.5" x14ac:dyDescent="0.3">
      <c r="A10" s="18" t="s">
        <v>534</v>
      </c>
      <c r="B10" s="23" t="s">
        <v>4</v>
      </c>
      <c r="C10" s="8"/>
      <c r="D10" s="25" t="s">
        <v>2440</v>
      </c>
      <c r="E10" s="12" t="s">
        <v>245</v>
      </c>
      <c r="F10" s="18" t="s">
        <v>1777</v>
      </c>
      <c r="G10" s="8">
        <v>0</v>
      </c>
      <c r="H10" s="8"/>
      <c r="I10" s="8"/>
      <c r="J10" s="8"/>
      <c r="K10" s="8">
        <f>+G10+H10+-I10</f>
        <v>0</v>
      </c>
      <c r="L10" s="8"/>
      <c r="M10" s="9">
        <v>1014</v>
      </c>
      <c r="N10" s="9">
        <f t="shared" si="0"/>
        <v>0</v>
      </c>
      <c r="O10" s="9"/>
      <c r="P10" s="9"/>
      <c r="Q10" s="10" t="s">
        <v>235</v>
      </c>
    </row>
    <row r="11" spans="1:17" s="11" customFormat="1" ht="26.25" customHeight="1" x14ac:dyDescent="0.3">
      <c r="A11" s="18" t="s">
        <v>535</v>
      </c>
      <c r="B11" s="23" t="s">
        <v>4</v>
      </c>
      <c r="C11" s="8"/>
      <c r="D11" s="25" t="s">
        <v>2435</v>
      </c>
      <c r="E11" s="12" t="s">
        <v>1611</v>
      </c>
      <c r="F11" s="18" t="s">
        <v>1778</v>
      </c>
      <c r="G11" s="8"/>
      <c r="H11" s="8">
        <v>12</v>
      </c>
      <c r="I11" s="8">
        <f>1+1+1+1+1+4+1</f>
        <v>10</v>
      </c>
      <c r="J11" s="8"/>
      <c r="K11" s="8">
        <f>+G11+H11-I11</f>
        <v>2</v>
      </c>
      <c r="L11" s="8"/>
      <c r="M11" s="9">
        <v>483.63479999999998</v>
      </c>
      <c r="N11" s="9">
        <f t="shared" si="0"/>
        <v>967.26959999999997</v>
      </c>
      <c r="O11" s="9"/>
      <c r="P11" s="9"/>
      <c r="Q11" s="10" t="s">
        <v>209</v>
      </c>
    </row>
    <row r="12" spans="1:17" s="11" customFormat="1" ht="33" customHeight="1" x14ac:dyDescent="0.3">
      <c r="A12" s="18" t="s">
        <v>536</v>
      </c>
      <c r="B12" s="23" t="s">
        <v>1723</v>
      </c>
      <c r="C12" s="8">
        <v>10</v>
      </c>
      <c r="D12" s="24" t="s">
        <v>2389</v>
      </c>
      <c r="E12" s="12" t="s">
        <v>1734</v>
      </c>
      <c r="F12" s="18" t="s">
        <v>1778</v>
      </c>
      <c r="G12" s="8"/>
      <c r="H12" s="8">
        <v>1</v>
      </c>
      <c r="I12" s="8"/>
      <c r="J12" s="8"/>
      <c r="K12" s="8">
        <f>+G12+H12+-I12</f>
        <v>1</v>
      </c>
      <c r="L12" s="8"/>
      <c r="M12" s="9">
        <v>1380.6</v>
      </c>
      <c r="N12" s="9">
        <f t="shared" si="0"/>
        <v>1380.6</v>
      </c>
      <c r="O12" s="9"/>
      <c r="P12" s="9"/>
      <c r="Q12" s="10" t="s">
        <v>18</v>
      </c>
    </row>
    <row r="13" spans="1:17" s="11" customFormat="1" ht="31.5" customHeight="1" x14ac:dyDescent="0.3">
      <c r="A13" s="18" t="s">
        <v>537</v>
      </c>
      <c r="B13" s="23" t="s">
        <v>4</v>
      </c>
      <c r="C13" s="8"/>
      <c r="D13" s="25" t="s">
        <v>2435</v>
      </c>
      <c r="E13" s="12" t="s">
        <v>208</v>
      </c>
      <c r="F13" s="18" t="s">
        <v>1778</v>
      </c>
      <c r="G13" s="8">
        <v>1</v>
      </c>
      <c r="H13" s="8"/>
      <c r="I13" s="8">
        <v>1</v>
      </c>
      <c r="J13" s="8"/>
      <c r="K13" s="8">
        <f>+G13+H13+-I13</f>
        <v>0</v>
      </c>
      <c r="L13" s="8"/>
      <c r="M13" s="9"/>
      <c r="N13" s="9">
        <f t="shared" si="0"/>
        <v>0</v>
      </c>
      <c r="O13" s="9"/>
      <c r="P13" s="9"/>
      <c r="Q13" s="10" t="s">
        <v>209</v>
      </c>
    </row>
    <row r="14" spans="1:17" s="11" customFormat="1" ht="39.950000000000003" customHeight="1" x14ac:dyDescent="0.3">
      <c r="A14" s="18" t="s">
        <v>538</v>
      </c>
      <c r="B14" s="23">
        <v>45695</v>
      </c>
      <c r="C14" s="8">
        <v>10</v>
      </c>
      <c r="D14" s="25" t="s">
        <v>2435</v>
      </c>
      <c r="E14" s="12" t="s">
        <v>1615</v>
      </c>
      <c r="F14" s="18" t="s">
        <v>1778</v>
      </c>
      <c r="G14" s="8"/>
      <c r="H14" s="8">
        <v>1</v>
      </c>
      <c r="I14" s="8"/>
      <c r="J14" s="8"/>
      <c r="K14" s="8">
        <f>+G14+H14-I14</f>
        <v>1</v>
      </c>
      <c r="L14" s="8"/>
      <c r="M14" s="9">
        <v>56407.775999999998</v>
      </c>
      <c r="N14" s="9">
        <f t="shared" si="0"/>
        <v>56407.775999999998</v>
      </c>
      <c r="O14" s="9"/>
      <c r="P14" s="9"/>
      <c r="Q14" s="10" t="s">
        <v>209</v>
      </c>
    </row>
    <row r="15" spans="1:17" s="11" customFormat="1" ht="39.950000000000003" customHeight="1" x14ac:dyDescent="0.3">
      <c r="A15" s="18" t="s">
        <v>539</v>
      </c>
      <c r="B15" s="23">
        <v>45701</v>
      </c>
      <c r="C15" s="8">
        <v>10</v>
      </c>
      <c r="D15" s="25" t="s">
        <v>2435</v>
      </c>
      <c r="E15" s="12" t="s">
        <v>1608</v>
      </c>
      <c r="F15" s="18" t="s">
        <v>1778</v>
      </c>
      <c r="G15" s="8"/>
      <c r="H15" s="8">
        <v>25</v>
      </c>
      <c r="I15" s="8">
        <v>1</v>
      </c>
      <c r="J15" s="8"/>
      <c r="K15" s="8">
        <f>+G15+H15-I15</f>
        <v>24</v>
      </c>
      <c r="L15" s="8"/>
      <c r="M15" s="9">
        <v>1791.24</v>
      </c>
      <c r="N15" s="9">
        <f t="shared" si="0"/>
        <v>42989.760000000002</v>
      </c>
      <c r="O15" s="9"/>
      <c r="P15" s="9"/>
      <c r="Q15" s="10" t="s">
        <v>209</v>
      </c>
    </row>
    <row r="16" spans="1:17" s="11" customFormat="1" ht="39.950000000000003" customHeight="1" x14ac:dyDescent="0.3">
      <c r="A16" s="18" t="s">
        <v>540</v>
      </c>
      <c r="B16" s="23">
        <v>45702</v>
      </c>
      <c r="C16" s="8">
        <v>10</v>
      </c>
      <c r="D16" s="25" t="s">
        <v>2435</v>
      </c>
      <c r="E16" s="12" t="s">
        <v>1606</v>
      </c>
      <c r="F16" s="18" t="s">
        <v>1778</v>
      </c>
      <c r="G16" s="8"/>
      <c r="H16" s="8">
        <v>1</v>
      </c>
      <c r="I16" s="8">
        <v>1</v>
      </c>
      <c r="J16" s="8"/>
      <c r="K16" s="8">
        <f>+G16+H16-I16</f>
        <v>0</v>
      </c>
      <c r="L16" s="8"/>
      <c r="M16" s="9">
        <v>110731.2</v>
      </c>
      <c r="N16" s="9">
        <f t="shared" si="0"/>
        <v>0</v>
      </c>
      <c r="O16" s="9"/>
      <c r="P16" s="9"/>
      <c r="Q16" s="10" t="s">
        <v>209</v>
      </c>
    </row>
    <row r="17" spans="1:17" s="11" customFormat="1" ht="39.950000000000003" customHeight="1" x14ac:dyDescent="0.3">
      <c r="A17" s="18" t="s">
        <v>541</v>
      </c>
      <c r="B17" s="23">
        <v>45695</v>
      </c>
      <c r="C17" s="8">
        <v>10</v>
      </c>
      <c r="D17" s="25" t="s">
        <v>2435</v>
      </c>
      <c r="E17" s="12" t="s">
        <v>1617</v>
      </c>
      <c r="F17" s="18" t="s">
        <v>1778</v>
      </c>
      <c r="G17" s="8"/>
      <c r="H17" s="8">
        <v>3</v>
      </c>
      <c r="I17" s="8"/>
      <c r="J17" s="8"/>
      <c r="K17" s="8">
        <f>+G17+H17-I17</f>
        <v>3</v>
      </c>
      <c r="L17" s="8"/>
      <c r="M17" s="9">
        <v>895.62</v>
      </c>
      <c r="N17" s="9">
        <f t="shared" si="0"/>
        <v>2686.86</v>
      </c>
      <c r="O17" s="9"/>
      <c r="P17" s="9"/>
      <c r="Q17" s="10" t="s">
        <v>209</v>
      </c>
    </row>
    <row r="18" spans="1:17" s="11" customFormat="1" ht="20.25" x14ac:dyDescent="0.3">
      <c r="A18" s="18" t="s">
        <v>542</v>
      </c>
      <c r="B18" s="23">
        <v>45804</v>
      </c>
      <c r="C18" s="8">
        <v>10</v>
      </c>
      <c r="D18" s="25" t="s">
        <v>2321</v>
      </c>
      <c r="E18" s="12" t="s">
        <v>2024</v>
      </c>
      <c r="F18" s="18" t="s">
        <v>1779</v>
      </c>
      <c r="G18" s="8"/>
      <c r="H18" s="8">
        <v>200</v>
      </c>
      <c r="I18" s="8"/>
      <c r="J18" s="8"/>
      <c r="K18" s="8">
        <f t="shared" ref="K18:K29" si="1">+G18+H18+-I18</f>
        <v>200</v>
      </c>
      <c r="L18" s="8"/>
      <c r="M18" s="9">
        <v>5</v>
      </c>
      <c r="N18" s="9">
        <f t="shared" si="0"/>
        <v>1000</v>
      </c>
      <c r="O18" s="9"/>
      <c r="P18" s="9"/>
      <c r="Q18" s="10" t="s">
        <v>433</v>
      </c>
    </row>
    <row r="19" spans="1:17" s="11" customFormat="1" ht="20.25" x14ac:dyDescent="0.3">
      <c r="A19" s="18" t="s">
        <v>543</v>
      </c>
      <c r="B19" s="23">
        <v>45412</v>
      </c>
      <c r="C19" s="8">
        <v>10</v>
      </c>
      <c r="D19" s="25" t="s">
        <v>2321</v>
      </c>
      <c r="E19" s="12" t="s">
        <v>439</v>
      </c>
      <c r="F19" s="18" t="s">
        <v>1779</v>
      </c>
      <c r="G19" s="8">
        <v>29</v>
      </c>
      <c r="H19" s="8">
        <v>43</v>
      </c>
      <c r="I19" s="8">
        <v>0</v>
      </c>
      <c r="J19" s="8"/>
      <c r="K19" s="8">
        <f t="shared" si="1"/>
        <v>72</v>
      </c>
      <c r="L19" s="8"/>
      <c r="M19" s="9">
        <v>15.84</v>
      </c>
      <c r="N19" s="9">
        <f t="shared" si="0"/>
        <v>1140.48</v>
      </c>
      <c r="O19" s="9"/>
      <c r="P19" s="9"/>
      <c r="Q19" s="10" t="s">
        <v>433</v>
      </c>
    </row>
    <row r="20" spans="1:17" s="11" customFormat="1" ht="20.25" x14ac:dyDescent="0.3">
      <c r="A20" s="18" t="s">
        <v>544</v>
      </c>
      <c r="B20" s="23" t="s">
        <v>1490</v>
      </c>
      <c r="C20" s="8">
        <v>10</v>
      </c>
      <c r="D20" s="25" t="s">
        <v>2321</v>
      </c>
      <c r="E20" s="12" t="s">
        <v>440</v>
      </c>
      <c r="F20" s="18" t="s">
        <v>1779</v>
      </c>
      <c r="G20" s="8">
        <f>39+4</f>
        <v>43</v>
      </c>
      <c r="H20" s="8"/>
      <c r="I20" s="8"/>
      <c r="J20" s="8"/>
      <c r="K20" s="8">
        <f t="shared" si="1"/>
        <v>43</v>
      </c>
      <c r="L20" s="8"/>
      <c r="M20" s="9">
        <v>22.41</v>
      </c>
      <c r="N20" s="9">
        <f t="shared" si="0"/>
        <v>963.63</v>
      </c>
      <c r="O20" s="9"/>
      <c r="P20" s="9"/>
      <c r="Q20" s="10" t="s">
        <v>433</v>
      </c>
    </row>
    <row r="21" spans="1:17" s="11" customFormat="1" ht="20.25" x14ac:dyDescent="0.3">
      <c r="A21" s="18" t="s">
        <v>545</v>
      </c>
      <c r="B21" s="23" t="s">
        <v>1490</v>
      </c>
      <c r="C21" s="8">
        <v>10</v>
      </c>
      <c r="D21" s="25" t="s">
        <v>2321</v>
      </c>
      <c r="E21" s="12" t="s">
        <v>441</v>
      </c>
      <c r="F21" s="18" t="s">
        <v>1779</v>
      </c>
      <c r="G21" s="8">
        <f>11+18+18+2+17</f>
        <v>66</v>
      </c>
      <c r="H21" s="8"/>
      <c r="I21" s="8"/>
      <c r="J21" s="8"/>
      <c r="K21" s="8">
        <f t="shared" si="1"/>
        <v>66</v>
      </c>
      <c r="L21" s="8"/>
      <c r="M21" s="9">
        <v>5.5</v>
      </c>
      <c r="N21" s="9">
        <f t="shared" si="0"/>
        <v>363</v>
      </c>
      <c r="O21" s="9"/>
      <c r="P21" s="9"/>
      <c r="Q21" s="10" t="s">
        <v>433</v>
      </c>
    </row>
    <row r="22" spans="1:17" s="11" customFormat="1" ht="20.25" x14ac:dyDescent="0.3">
      <c r="A22" s="18" t="s">
        <v>546</v>
      </c>
      <c r="B22" s="23" t="s">
        <v>1490</v>
      </c>
      <c r="C22" s="8">
        <v>10</v>
      </c>
      <c r="D22" s="25" t="s">
        <v>2321</v>
      </c>
      <c r="E22" s="12" t="s">
        <v>1763</v>
      </c>
      <c r="F22" s="18" t="s">
        <v>1779</v>
      </c>
      <c r="G22" s="8">
        <v>16</v>
      </c>
      <c r="H22" s="8"/>
      <c r="I22" s="8"/>
      <c r="J22" s="8"/>
      <c r="K22" s="8">
        <f t="shared" si="1"/>
        <v>16</v>
      </c>
      <c r="L22" s="8"/>
      <c r="M22" s="9">
        <v>15</v>
      </c>
      <c r="N22" s="9">
        <f t="shared" si="0"/>
        <v>240</v>
      </c>
      <c r="O22" s="9"/>
      <c r="P22" s="9"/>
      <c r="Q22" s="10" t="s">
        <v>433</v>
      </c>
    </row>
    <row r="23" spans="1:17" s="11" customFormat="1" ht="20.25" x14ac:dyDescent="0.3">
      <c r="A23" s="18" t="s">
        <v>547</v>
      </c>
      <c r="B23" s="23">
        <v>45412</v>
      </c>
      <c r="C23" s="8">
        <v>10</v>
      </c>
      <c r="D23" s="25" t="s">
        <v>2321</v>
      </c>
      <c r="E23" s="12" t="s">
        <v>1762</v>
      </c>
      <c r="F23" s="18" t="s">
        <v>1779</v>
      </c>
      <c r="G23" s="8">
        <v>29</v>
      </c>
      <c r="H23" s="8"/>
      <c r="I23" s="8">
        <f>1+14+4+2</f>
        <v>21</v>
      </c>
      <c r="J23" s="8"/>
      <c r="K23" s="8">
        <f t="shared" si="1"/>
        <v>8</v>
      </c>
      <c r="L23" s="8"/>
      <c r="M23" s="9">
        <v>15</v>
      </c>
      <c r="N23" s="9">
        <f t="shared" si="0"/>
        <v>120</v>
      </c>
      <c r="O23" s="9"/>
      <c r="P23" s="9"/>
      <c r="Q23" s="10" t="s">
        <v>433</v>
      </c>
    </row>
    <row r="24" spans="1:17" s="11" customFormat="1" ht="20.25" x14ac:dyDescent="0.3">
      <c r="A24" s="18" t="s">
        <v>548</v>
      </c>
      <c r="B24" s="23">
        <v>45412</v>
      </c>
      <c r="C24" s="8">
        <v>10</v>
      </c>
      <c r="D24" s="25" t="s">
        <v>2321</v>
      </c>
      <c r="E24" s="12" t="s">
        <v>435</v>
      </c>
      <c r="F24" s="18" t="s">
        <v>1779</v>
      </c>
      <c r="G24" s="8">
        <v>137</v>
      </c>
      <c r="H24" s="8"/>
      <c r="I24" s="8">
        <v>1</v>
      </c>
      <c r="J24" s="8"/>
      <c r="K24" s="8">
        <f t="shared" si="1"/>
        <v>136</v>
      </c>
      <c r="L24" s="8"/>
      <c r="M24" s="9">
        <v>5.17</v>
      </c>
      <c r="N24" s="9">
        <f t="shared" si="0"/>
        <v>703.12</v>
      </c>
      <c r="O24" s="9"/>
      <c r="P24" s="9"/>
      <c r="Q24" s="10" t="s">
        <v>433</v>
      </c>
    </row>
    <row r="25" spans="1:17" s="11" customFormat="1" ht="20.25" x14ac:dyDescent="0.3">
      <c r="A25" s="18" t="s">
        <v>549</v>
      </c>
      <c r="B25" s="23">
        <v>45412</v>
      </c>
      <c r="C25" s="8">
        <v>10</v>
      </c>
      <c r="D25" s="25" t="s">
        <v>2321</v>
      </c>
      <c r="E25" s="12" t="s">
        <v>436</v>
      </c>
      <c r="F25" s="18" t="s">
        <v>1779</v>
      </c>
      <c r="G25" s="8">
        <f>12+1+1</f>
        <v>14</v>
      </c>
      <c r="H25" s="8"/>
      <c r="I25" s="8">
        <v>1</v>
      </c>
      <c r="J25" s="8"/>
      <c r="K25" s="8">
        <f t="shared" si="1"/>
        <v>13</v>
      </c>
      <c r="L25" s="8"/>
      <c r="M25" s="9">
        <v>20</v>
      </c>
      <c r="N25" s="9">
        <f t="shared" si="0"/>
        <v>260</v>
      </c>
      <c r="O25" s="9"/>
      <c r="P25" s="9"/>
      <c r="Q25" s="10" t="s">
        <v>433</v>
      </c>
    </row>
    <row r="26" spans="1:17" s="11" customFormat="1" ht="20.25" x14ac:dyDescent="0.3">
      <c r="A26" s="18" t="s">
        <v>550</v>
      </c>
      <c r="B26" s="23">
        <v>45412</v>
      </c>
      <c r="C26" s="8">
        <v>10</v>
      </c>
      <c r="D26" s="25" t="s">
        <v>2321</v>
      </c>
      <c r="E26" s="12" t="s">
        <v>437</v>
      </c>
      <c r="F26" s="18" t="s">
        <v>1779</v>
      </c>
      <c r="G26" s="8">
        <v>27</v>
      </c>
      <c r="H26" s="8"/>
      <c r="I26" s="8">
        <v>1</v>
      </c>
      <c r="J26" s="8"/>
      <c r="K26" s="8">
        <f t="shared" si="1"/>
        <v>26</v>
      </c>
      <c r="L26" s="8"/>
      <c r="M26" s="9">
        <v>15</v>
      </c>
      <c r="N26" s="9">
        <f t="shared" si="0"/>
        <v>390</v>
      </c>
      <c r="O26" s="9"/>
      <c r="P26" s="9"/>
      <c r="Q26" s="10" t="s">
        <v>433</v>
      </c>
    </row>
    <row r="27" spans="1:17" s="11" customFormat="1" ht="20.25" x14ac:dyDescent="0.3">
      <c r="A27" s="18" t="s">
        <v>551</v>
      </c>
      <c r="B27" s="23" t="s">
        <v>1490</v>
      </c>
      <c r="C27" s="8">
        <v>10</v>
      </c>
      <c r="D27" s="25" t="s">
        <v>2321</v>
      </c>
      <c r="E27" s="10" t="s">
        <v>2519</v>
      </c>
      <c r="F27" s="18" t="s">
        <v>1779</v>
      </c>
      <c r="G27" s="8">
        <v>2</v>
      </c>
      <c r="H27" s="8"/>
      <c r="I27" s="8"/>
      <c r="J27" s="8"/>
      <c r="K27" s="8">
        <f t="shared" si="1"/>
        <v>2</v>
      </c>
      <c r="L27" s="8"/>
      <c r="M27" s="9"/>
      <c r="N27" s="9">
        <f t="shared" si="0"/>
        <v>0</v>
      </c>
      <c r="O27" s="9">
        <v>78.099999999999994</v>
      </c>
      <c r="P27" s="9">
        <f>+O27*K27</f>
        <v>156.19999999999999</v>
      </c>
      <c r="Q27" s="10" t="s">
        <v>433</v>
      </c>
    </row>
    <row r="28" spans="1:17" s="11" customFormat="1" ht="40.5" x14ac:dyDescent="0.3">
      <c r="A28" s="18" t="s">
        <v>552</v>
      </c>
      <c r="B28" s="23" t="s">
        <v>1490</v>
      </c>
      <c r="C28" s="8">
        <v>10</v>
      </c>
      <c r="D28" s="25" t="s">
        <v>2385</v>
      </c>
      <c r="E28" s="12" t="s">
        <v>1753</v>
      </c>
      <c r="F28" s="18" t="s">
        <v>1779</v>
      </c>
      <c r="G28" s="8">
        <v>2</v>
      </c>
      <c r="H28" s="8"/>
      <c r="I28" s="8">
        <v>1</v>
      </c>
      <c r="J28" s="8"/>
      <c r="K28" s="8">
        <f t="shared" si="1"/>
        <v>1</v>
      </c>
      <c r="L28" s="8"/>
      <c r="M28" s="9">
        <v>517</v>
      </c>
      <c r="N28" s="9">
        <f t="shared" si="0"/>
        <v>517</v>
      </c>
      <c r="O28" s="9"/>
      <c r="P28" s="9"/>
      <c r="Q28" s="10" t="s">
        <v>500</v>
      </c>
    </row>
    <row r="29" spans="1:17" s="11" customFormat="1" ht="20.25" x14ac:dyDescent="0.3">
      <c r="A29" s="18" t="s">
        <v>553</v>
      </c>
      <c r="B29" s="23">
        <v>45412</v>
      </c>
      <c r="C29" s="8">
        <v>10</v>
      </c>
      <c r="D29" s="25" t="s">
        <v>2321</v>
      </c>
      <c r="E29" s="12" t="s">
        <v>438</v>
      </c>
      <c r="F29" s="18" t="s">
        <v>1779</v>
      </c>
      <c r="G29" s="8">
        <v>24</v>
      </c>
      <c r="H29" s="8"/>
      <c r="I29" s="8">
        <f>1+1+1+1+1</f>
        <v>5</v>
      </c>
      <c r="J29" s="8"/>
      <c r="K29" s="8">
        <f t="shared" si="1"/>
        <v>19</v>
      </c>
      <c r="L29" s="8"/>
      <c r="M29" s="9">
        <v>78.099999999999994</v>
      </c>
      <c r="N29" s="9">
        <f t="shared" si="0"/>
        <v>1483.8999999999999</v>
      </c>
      <c r="O29" s="9"/>
      <c r="P29" s="9"/>
      <c r="Q29" s="10" t="s">
        <v>433</v>
      </c>
    </row>
    <row r="30" spans="1:17" s="11" customFormat="1" ht="39.950000000000003" customHeight="1" x14ac:dyDescent="0.3">
      <c r="A30" s="18" t="s">
        <v>554</v>
      </c>
      <c r="B30" s="23">
        <v>45804</v>
      </c>
      <c r="C30" s="8">
        <v>10</v>
      </c>
      <c r="D30" s="25" t="s">
        <v>2321</v>
      </c>
      <c r="E30" s="12" t="s">
        <v>2023</v>
      </c>
      <c r="F30" s="18" t="s">
        <v>1779</v>
      </c>
      <c r="G30" s="8"/>
      <c r="H30" s="8">
        <v>200</v>
      </c>
      <c r="I30" s="8"/>
      <c r="J30" s="8"/>
      <c r="K30" s="8">
        <f>+G30+H30-I30+J30</f>
        <v>200</v>
      </c>
      <c r="L30" s="8"/>
      <c r="M30" s="9">
        <v>5</v>
      </c>
      <c r="N30" s="9">
        <f t="shared" si="0"/>
        <v>1000</v>
      </c>
      <c r="O30" s="9"/>
      <c r="P30" s="9"/>
      <c r="Q30" s="10" t="s">
        <v>433</v>
      </c>
    </row>
    <row r="31" spans="1:17" s="11" customFormat="1" ht="39.950000000000003" customHeight="1" x14ac:dyDescent="0.3">
      <c r="A31" s="18" t="s">
        <v>555</v>
      </c>
      <c r="B31" s="23">
        <v>45701</v>
      </c>
      <c r="C31" s="8">
        <v>10</v>
      </c>
      <c r="D31" s="25" t="s">
        <v>2435</v>
      </c>
      <c r="E31" s="12" t="s">
        <v>1609</v>
      </c>
      <c r="F31" s="18" t="s">
        <v>1779</v>
      </c>
      <c r="G31" s="8"/>
      <c r="H31" s="8">
        <v>30</v>
      </c>
      <c r="I31" s="8"/>
      <c r="J31" s="8"/>
      <c r="K31" s="8">
        <f>+G31+H31-I31</f>
        <v>30</v>
      </c>
      <c r="L31" s="8"/>
      <c r="M31" s="9">
        <v>773.49</v>
      </c>
      <c r="N31" s="9">
        <f t="shared" si="0"/>
        <v>23204.7</v>
      </c>
      <c r="O31" s="9"/>
      <c r="P31" s="9"/>
      <c r="Q31" s="10" t="s">
        <v>209</v>
      </c>
    </row>
    <row r="32" spans="1:17" s="11" customFormat="1" ht="20.25" x14ac:dyDescent="0.3">
      <c r="A32" s="18" t="s">
        <v>556</v>
      </c>
      <c r="B32" s="23">
        <v>45412</v>
      </c>
      <c r="C32" s="8">
        <v>10</v>
      </c>
      <c r="D32" s="25" t="s">
        <v>2435</v>
      </c>
      <c r="E32" s="12" t="s">
        <v>1592</v>
      </c>
      <c r="F32" s="18" t="s">
        <v>1779</v>
      </c>
      <c r="G32" s="8">
        <f>10+9+12</f>
        <v>31</v>
      </c>
      <c r="H32" s="8"/>
      <c r="I32" s="8">
        <f>17+3</f>
        <v>20</v>
      </c>
      <c r="J32" s="8"/>
      <c r="K32" s="8">
        <f>+G32+H32+-I32</f>
        <v>11</v>
      </c>
      <c r="L32" s="8"/>
      <c r="M32" s="9">
        <v>385</v>
      </c>
      <c r="N32" s="9">
        <f t="shared" si="0"/>
        <v>4235</v>
      </c>
      <c r="O32" s="9"/>
      <c r="P32" s="9"/>
      <c r="Q32" s="10" t="s">
        <v>209</v>
      </c>
    </row>
    <row r="33" spans="1:17" s="11" customFormat="1" ht="20.25" x14ac:dyDescent="0.3">
      <c r="A33" s="18" t="s">
        <v>557</v>
      </c>
      <c r="B33" s="23">
        <v>45412</v>
      </c>
      <c r="C33" s="8">
        <v>10</v>
      </c>
      <c r="D33" s="25" t="s">
        <v>2435</v>
      </c>
      <c r="E33" s="12" t="s">
        <v>1593</v>
      </c>
      <c r="F33" s="18" t="s">
        <v>1779</v>
      </c>
      <c r="G33" s="8">
        <v>19</v>
      </c>
      <c r="H33" s="8"/>
      <c r="I33" s="8"/>
      <c r="J33" s="8"/>
      <c r="K33" s="8">
        <f>+G33+H33+-I33</f>
        <v>19</v>
      </c>
      <c r="L33" s="8"/>
      <c r="M33" s="9">
        <v>385</v>
      </c>
      <c r="N33" s="9">
        <f t="shared" si="0"/>
        <v>7315</v>
      </c>
      <c r="O33" s="9"/>
      <c r="P33" s="9"/>
      <c r="Q33" s="10" t="s">
        <v>209</v>
      </c>
    </row>
    <row r="34" spans="1:17" s="11" customFormat="1" ht="20.25" x14ac:dyDescent="0.3">
      <c r="A34" s="18" t="s">
        <v>558</v>
      </c>
      <c r="B34" s="23"/>
      <c r="C34" s="8"/>
      <c r="D34" s="25" t="s">
        <v>2435</v>
      </c>
      <c r="E34" s="12" t="s">
        <v>1591</v>
      </c>
      <c r="F34" s="18" t="s">
        <v>1779</v>
      </c>
      <c r="G34" s="8">
        <v>19</v>
      </c>
      <c r="H34" s="8"/>
      <c r="I34" s="8">
        <f>7+3</f>
        <v>10</v>
      </c>
      <c r="J34" s="8"/>
      <c r="K34" s="8">
        <f>+G34+H34+-I34</f>
        <v>9</v>
      </c>
      <c r="L34" s="8"/>
      <c r="M34" s="9">
        <v>188.8</v>
      </c>
      <c r="N34" s="9">
        <f t="shared" si="0"/>
        <v>1699.2</v>
      </c>
      <c r="O34" s="9"/>
      <c r="P34" s="9"/>
      <c r="Q34" s="10" t="s">
        <v>209</v>
      </c>
    </row>
    <row r="35" spans="1:17" s="11" customFormat="1" ht="20.25" x14ac:dyDescent="0.3">
      <c r="A35" s="18" t="s">
        <v>559</v>
      </c>
      <c r="B35" s="23">
        <v>45701</v>
      </c>
      <c r="C35" s="8">
        <v>10</v>
      </c>
      <c r="D35" s="25" t="s">
        <v>2435</v>
      </c>
      <c r="E35" s="12" t="s">
        <v>1610</v>
      </c>
      <c r="F35" s="18" t="s">
        <v>1779</v>
      </c>
      <c r="G35" s="8"/>
      <c r="H35" s="8">
        <v>30</v>
      </c>
      <c r="I35" s="8"/>
      <c r="J35" s="8"/>
      <c r="K35" s="8">
        <f>+G35+H35-I35</f>
        <v>30</v>
      </c>
      <c r="L35" s="8"/>
      <c r="M35" s="9">
        <v>1636.5419999999999</v>
      </c>
      <c r="N35" s="9">
        <f t="shared" si="0"/>
        <v>49096.259999999995</v>
      </c>
      <c r="O35" s="9"/>
      <c r="P35" s="9"/>
      <c r="Q35" s="10" t="s">
        <v>209</v>
      </c>
    </row>
    <row r="36" spans="1:17" s="11" customFormat="1" ht="20.25" x14ac:dyDescent="0.3">
      <c r="A36" s="18" t="s">
        <v>560</v>
      </c>
      <c r="B36" s="23">
        <v>45417</v>
      </c>
      <c r="C36" s="8">
        <v>10</v>
      </c>
      <c r="D36" s="25" t="s">
        <v>2327</v>
      </c>
      <c r="E36" s="12" t="s">
        <v>1390</v>
      </c>
      <c r="F36" s="18" t="s">
        <v>1779</v>
      </c>
      <c r="G36" s="8"/>
      <c r="H36" s="8">
        <v>10</v>
      </c>
      <c r="I36" s="8">
        <v>10</v>
      </c>
      <c r="J36" s="8"/>
      <c r="K36" s="8">
        <f>+G36+H36-I36+J36</f>
        <v>0</v>
      </c>
      <c r="L36" s="8"/>
      <c r="M36" s="9">
        <v>206.5</v>
      </c>
      <c r="N36" s="9">
        <f t="shared" si="0"/>
        <v>0</v>
      </c>
      <c r="O36" s="9"/>
      <c r="P36" s="9"/>
      <c r="Q36" s="10" t="s">
        <v>1541</v>
      </c>
    </row>
    <row r="37" spans="1:17" s="11" customFormat="1" ht="40.5" x14ac:dyDescent="0.3">
      <c r="A37" s="18" t="s">
        <v>561</v>
      </c>
      <c r="B37" s="23" t="s">
        <v>4</v>
      </c>
      <c r="C37" s="8"/>
      <c r="D37" s="25"/>
      <c r="E37" s="12" t="s">
        <v>162</v>
      </c>
      <c r="F37" s="18" t="s">
        <v>1779</v>
      </c>
      <c r="G37" s="8">
        <v>8</v>
      </c>
      <c r="H37" s="8"/>
      <c r="I37" s="8"/>
      <c r="J37" s="8"/>
      <c r="K37" s="8">
        <f>+G37+H37+-I37</f>
        <v>8</v>
      </c>
      <c r="L37" s="8"/>
      <c r="M37" s="9">
        <v>157</v>
      </c>
      <c r="N37" s="9">
        <f t="shared" si="0"/>
        <v>1256</v>
      </c>
      <c r="O37" s="9"/>
      <c r="P37" s="9"/>
      <c r="Q37" s="10" t="s">
        <v>159</v>
      </c>
    </row>
    <row r="38" spans="1:17" s="11" customFormat="1" ht="20.25" x14ac:dyDescent="0.3">
      <c r="A38" s="18" t="s">
        <v>562</v>
      </c>
      <c r="B38" s="23" t="s">
        <v>4</v>
      </c>
      <c r="C38" s="8"/>
      <c r="D38" s="25" t="s">
        <v>2322</v>
      </c>
      <c r="E38" s="12" t="s">
        <v>233</v>
      </c>
      <c r="F38" s="18" t="s">
        <v>1780</v>
      </c>
      <c r="G38" s="8">
        <f>19-2</f>
        <v>17</v>
      </c>
      <c r="H38" s="8"/>
      <c r="I38" s="8">
        <f>1+1</f>
        <v>2</v>
      </c>
      <c r="J38" s="8"/>
      <c r="K38" s="8">
        <f>+G38+H38+-I38</f>
        <v>15</v>
      </c>
      <c r="L38" s="8"/>
      <c r="M38" s="9">
        <v>64.900000000000006</v>
      </c>
      <c r="N38" s="9">
        <f t="shared" si="0"/>
        <v>973.50000000000011</v>
      </c>
      <c r="O38" s="9"/>
      <c r="P38" s="9"/>
      <c r="Q38" s="10" t="s">
        <v>209</v>
      </c>
    </row>
    <row r="39" spans="1:17" s="11" customFormat="1" ht="39.950000000000003" customHeight="1" x14ac:dyDescent="0.3">
      <c r="A39" s="18" t="s">
        <v>563</v>
      </c>
      <c r="B39" s="23">
        <v>45695</v>
      </c>
      <c r="C39" s="8">
        <v>10</v>
      </c>
      <c r="D39" s="25" t="s">
        <v>2436</v>
      </c>
      <c r="E39" s="12" t="s">
        <v>1616</v>
      </c>
      <c r="F39" s="18" t="s">
        <v>1780</v>
      </c>
      <c r="G39" s="8"/>
      <c r="H39" s="8">
        <v>30</v>
      </c>
      <c r="I39" s="8">
        <f>1+1</f>
        <v>2</v>
      </c>
      <c r="J39" s="8"/>
      <c r="K39" s="8">
        <f>+G39+H39-I39</f>
        <v>28</v>
      </c>
      <c r="L39" s="8"/>
      <c r="M39" s="9">
        <v>293.11200000000002</v>
      </c>
      <c r="N39" s="9">
        <f t="shared" si="0"/>
        <v>8207.1360000000004</v>
      </c>
      <c r="O39" s="9"/>
      <c r="P39" s="9"/>
      <c r="Q39" s="10" t="s">
        <v>209</v>
      </c>
    </row>
    <row r="40" spans="1:17" s="11" customFormat="1" ht="39.950000000000003" customHeight="1" x14ac:dyDescent="0.3">
      <c r="A40" s="18" t="s">
        <v>564</v>
      </c>
      <c r="B40" s="23" t="s">
        <v>1581</v>
      </c>
      <c r="C40" s="8">
        <v>10</v>
      </c>
      <c r="D40" s="25" t="s">
        <v>2436</v>
      </c>
      <c r="E40" s="12" t="s">
        <v>1651</v>
      </c>
      <c r="F40" s="18" t="s">
        <v>1780</v>
      </c>
      <c r="G40" s="8">
        <v>1</v>
      </c>
      <c r="H40" s="8">
        <v>10</v>
      </c>
      <c r="I40" s="8"/>
      <c r="J40" s="8">
        <v>0</v>
      </c>
      <c r="K40" s="8">
        <f>+G40+H40-I40</f>
        <v>11</v>
      </c>
      <c r="L40" s="8"/>
      <c r="M40" s="9">
        <v>350.46</v>
      </c>
      <c r="N40" s="9">
        <f>+L40*M40</f>
        <v>0</v>
      </c>
      <c r="O40" s="9"/>
      <c r="P40" s="9"/>
      <c r="Q40" s="10" t="s">
        <v>1652</v>
      </c>
    </row>
    <row r="41" spans="1:17" s="11" customFormat="1" ht="39.950000000000003" customHeight="1" x14ac:dyDescent="0.3">
      <c r="A41" s="18" t="s">
        <v>565</v>
      </c>
      <c r="B41" s="23">
        <v>45392</v>
      </c>
      <c r="C41" s="8">
        <v>10</v>
      </c>
      <c r="D41" s="25" t="s">
        <v>2436</v>
      </c>
      <c r="E41" s="12" t="s">
        <v>1692</v>
      </c>
      <c r="F41" s="18" t="s">
        <v>1780</v>
      </c>
      <c r="G41" s="8">
        <v>9</v>
      </c>
      <c r="H41" s="8">
        <v>10</v>
      </c>
      <c r="I41" s="8"/>
      <c r="J41" s="8">
        <v>0</v>
      </c>
      <c r="K41" s="8">
        <f>+G41+H41-I41</f>
        <v>19</v>
      </c>
      <c r="L41" s="8"/>
      <c r="M41" s="9">
        <v>339.84</v>
      </c>
      <c r="N41" s="9">
        <f>+L41*M41</f>
        <v>0</v>
      </c>
      <c r="O41" s="9"/>
      <c r="P41" s="9"/>
      <c r="Q41" s="10" t="s">
        <v>1652</v>
      </c>
    </row>
    <row r="42" spans="1:17" s="11" customFormat="1" ht="39.950000000000003" customHeight="1" x14ac:dyDescent="0.3">
      <c r="A42" s="18" t="s">
        <v>566</v>
      </c>
      <c r="B42" s="23">
        <v>45803</v>
      </c>
      <c r="C42" s="8">
        <v>10</v>
      </c>
      <c r="D42" s="25" t="s">
        <v>2326</v>
      </c>
      <c r="E42" s="12" t="s">
        <v>2014</v>
      </c>
      <c r="F42" s="18" t="s">
        <v>1780</v>
      </c>
      <c r="G42" s="8">
        <v>4</v>
      </c>
      <c r="H42" s="8">
        <v>10</v>
      </c>
      <c r="I42" s="8"/>
      <c r="J42" s="8"/>
      <c r="K42" s="8">
        <f>+G42+H42-I42+J42</f>
        <v>14</v>
      </c>
      <c r="L42" s="8">
        <v>10</v>
      </c>
      <c r="M42" s="9">
        <v>712</v>
      </c>
      <c r="N42" s="9">
        <f t="shared" ref="N42:N71" si="2">+K42*M42</f>
        <v>9968</v>
      </c>
      <c r="O42" s="9"/>
      <c r="P42" s="9"/>
      <c r="Q42" s="10" t="s">
        <v>1191</v>
      </c>
    </row>
    <row r="43" spans="1:17" s="11" customFormat="1" ht="39.950000000000003" customHeight="1" x14ac:dyDescent="0.3">
      <c r="A43" s="18" t="s">
        <v>567</v>
      </c>
      <c r="B43" s="23"/>
      <c r="C43" s="8"/>
      <c r="D43" s="25" t="s">
        <v>2394</v>
      </c>
      <c r="E43" s="12" t="s">
        <v>24</v>
      </c>
      <c r="F43" s="18" t="s">
        <v>1781</v>
      </c>
      <c r="G43" s="8">
        <v>1</v>
      </c>
      <c r="H43" s="8"/>
      <c r="I43" s="8">
        <v>1</v>
      </c>
      <c r="J43" s="8"/>
      <c r="K43" s="8">
        <f>+G43+H43-I43</f>
        <v>0</v>
      </c>
      <c r="L43" s="8"/>
      <c r="M43" s="9">
        <v>4415</v>
      </c>
      <c r="N43" s="9">
        <f t="shared" si="2"/>
        <v>0</v>
      </c>
      <c r="O43" s="9"/>
      <c r="P43" s="9"/>
      <c r="Q43" s="10" t="s">
        <v>25</v>
      </c>
    </row>
    <row r="44" spans="1:17" s="11" customFormat="1" ht="39.950000000000003" customHeight="1" x14ac:dyDescent="0.3">
      <c r="A44" s="18" t="s">
        <v>568</v>
      </c>
      <c r="B44" s="23"/>
      <c r="C44" s="8"/>
      <c r="D44" s="25" t="s">
        <v>2394</v>
      </c>
      <c r="E44" s="12" t="s">
        <v>26</v>
      </c>
      <c r="F44" s="18" t="s">
        <v>1781</v>
      </c>
      <c r="G44" s="8">
        <f>8940-260-380-200</f>
        <v>8100</v>
      </c>
      <c r="H44" s="8">
        <v>500</v>
      </c>
      <c r="I44" s="8">
        <f>50+550+500+500+500+500+500+30</f>
        <v>3130</v>
      </c>
      <c r="J44" s="8"/>
      <c r="K44" s="8">
        <f>+G44+H44-I44</f>
        <v>5470</v>
      </c>
      <c r="L44" s="8"/>
      <c r="M44" s="9">
        <v>23.52</v>
      </c>
      <c r="N44" s="9">
        <f t="shared" si="2"/>
        <v>128654.39999999999</v>
      </c>
      <c r="O44" s="9"/>
      <c r="P44" s="9"/>
      <c r="Q44" s="10" t="s">
        <v>25</v>
      </c>
    </row>
    <row r="45" spans="1:17" s="11" customFormat="1" ht="39.950000000000003" customHeight="1" x14ac:dyDescent="0.3">
      <c r="A45" s="18" t="s">
        <v>569</v>
      </c>
      <c r="B45" s="19" t="s">
        <v>2303</v>
      </c>
      <c r="C45" s="20"/>
      <c r="D45" s="53" t="s">
        <v>2479</v>
      </c>
      <c r="E45" s="12" t="s">
        <v>2493</v>
      </c>
      <c r="F45" s="21" t="s">
        <v>2480</v>
      </c>
      <c r="G45" s="8"/>
      <c r="H45" s="8">
        <v>1000</v>
      </c>
      <c r="I45" s="8"/>
      <c r="J45" s="8"/>
      <c r="K45" s="8">
        <f>+G45+H45-I45+J45</f>
        <v>1000</v>
      </c>
      <c r="L45" s="8"/>
      <c r="M45" s="9">
        <v>23.09496</v>
      </c>
      <c r="N45" s="9">
        <f t="shared" si="2"/>
        <v>23094.959999999999</v>
      </c>
      <c r="O45" s="9"/>
      <c r="P45" s="9"/>
      <c r="Q45" s="10" t="s">
        <v>25</v>
      </c>
    </row>
    <row r="46" spans="1:17" s="11" customFormat="1" ht="39.950000000000003" customHeight="1" x14ac:dyDescent="0.3">
      <c r="A46" s="18" t="s">
        <v>570</v>
      </c>
      <c r="B46" s="19" t="s">
        <v>2303</v>
      </c>
      <c r="C46" s="20"/>
      <c r="D46" s="53" t="s">
        <v>2479</v>
      </c>
      <c r="E46" s="12" t="s">
        <v>2494</v>
      </c>
      <c r="F46" s="21" t="s">
        <v>2480</v>
      </c>
      <c r="G46" s="8"/>
      <c r="H46" s="8">
        <v>1000</v>
      </c>
      <c r="I46" s="8"/>
      <c r="J46" s="8"/>
      <c r="K46" s="8">
        <f>+G46+H46-I46+J46</f>
        <v>1000</v>
      </c>
      <c r="L46" s="8"/>
      <c r="M46" s="9">
        <v>32.667119999999997</v>
      </c>
      <c r="N46" s="9">
        <f t="shared" si="2"/>
        <v>32667.119999999995</v>
      </c>
      <c r="O46" s="9"/>
      <c r="P46" s="9"/>
      <c r="Q46" s="10" t="s">
        <v>25</v>
      </c>
    </row>
    <row r="47" spans="1:17" s="11" customFormat="1" ht="39.950000000000003" customHeight="1" x14ac:dyDescent="0.3">
      <c r="A47" s="18" t="s">
        <v>571</v>
      </c>
      <c r="B47" s="23"/>
      <c r="C47" s="8"/>
      <c r="D47" s="25" t="s">
        <v>2394</v>
      </c>
      <c r="E47" s="12" t="s">
        <v>27</v>
      </c>
      <c r="F47" s="18" t="s">
        <v>1781</v>
      </c>
      <c r="G47" s="8">
        <v>200</v>
      </c>
      <c r="H47" s="8"/>
      <c r="I47" s="8"/>
      <c r="J47" s="8"/>
      <c r="K47" s="8">
        <f>+G47+H47-I47</f>
        <v>200</v>
      </c>
      <c r="L47" s="8"/>
      <c r="M47" s="9">
        <v>55</v>
      </c>
      <c r="N47" s="9">
        <f t="shared" si="2"/>
        <v>11000</v>
      </c>
      <c r="O47" s="9"/>
      <c r="P47" s="9"/>
      <c r="Q47" s="10" t="s">
        <v>25</v>
      </c>
    </row>
    <row r="48" spans="1:17" s="11" customFormat="1" ht="39.950000000000003" customHeight="1" x14ac:dyDescent="0.3">
      <c r="A48" s="18" t="s">
        <v>572</v>
      </c>
      <c r="B48" s="23"/>
      <c r="C48" s="8"/>
      <c r="D48" s="25" t="s">
        <v>2394</v>
      </c>
      <c r="E48" s="12" t="s">
        <v>28</v>
      </c>
      <c r="F48" s="18" t="s">
        <v>1781</v>
      </c>
      <c r="G48" s="8">
        <f>1000-7-10</f>
        <v>983</v>
      </c>
      <c r="H48" s="8"/>
      <c r="I48" s="8">
        <v>200</v>
      </c>
      <c r="J48" s="8"/>
      <c r="K48" s="8">
        <f>+G48+H48-I48</f>
        <v>783</v>
      </c>
      <c r="L48" s="8"/>
      <c r="M48" s="9">
        <v>61</v>
      </c>
      <c r="N48" s="9">
        <f t="shared" si="2"/>
        <v>47763</v>
      </c>
      <c r="O48" s="9"/>
      <c r="P48" s="9"/>
      <c r="Q48" s="10" t="s">
        <v>25</v>
      </c>
    </row>
    <row r="49" spans="1:17" s="11" customFormat="1" ht="39.950000000000003" customHeight="1" x14ac:dyDescent="0.3">
      <c r="A49" s="18" t="s">
        <v>573</v>
      </c>
      <c r="B49" s="23"/>
      <c r="C49" s="8"/>
      <c r="D49" s="25" t="s">
        <v>2394</v>
      </c>
      <c r="E49" s="12" t="s">
        <v>29</v>
      </c>
      <c r="F49" s="18" t="s">
        <v>1781</v>
      </c>
      <c r="G49" s="8">
        <v>0</v>
      </c>
      <c r="H49" s="8"/>
      <c r="I49" s="8"/>
      <c r="J49" s="8"/>
      <c r="K49" s="8">
        <f>+G49+H49-I49</f>
        <v>0</v>
      </c>
      <c r="L49" s="8"/>
      <c r="M49" s="9">
        <v>7500</v>
      </c>
      <c r="N49" s="9">
        <f t="shared" si="2"/>
        <v>0</v>
      </c>
      <c r="O49" s="9"/>
      <c r="P49" s="9"/>
      <c r="Q49" s="10" t="s">
        <v>25</v>
      </c>
    </row>
    <row r="50" spans="1:17" s="11" customFormat="1" ht="39.950000000000003" customHeight="1" x14ac:dyDescent="0.3">
      <c r="A50" s="18" t="s">
        <v>574</v>
      </c>
      <c r="B50" s="19" t="s">
        <v>2305</v>
      </c>
      <c r="C50" s="20"/>
      <c r="D50" s="25" t="s">
        <v>2394</v>
      </c>
      <c r="E50" s="12" t="s">
        <v>2315</v>
      </c>
      <c r="F50" s="18" t="s">
        <v>1781</v>
      </c>
      <c r="G50" s="8"/>
      <c r="H50" s="8">
        <v>3</v>
      </c>
      <c r="I50" s="8"/>
      <c r="J50" s="8"/>
      <c r="K50" s="8">
        <f t="shared" ref="K50:K57" si="3">+G50+H50-I50+J50</f>
        <v>3</v>
      </c>
      <c r="L50" s="8"/>
      <c r="M50" s="9">
        <v>2879.2</v>
      </c>
      <c r="N50" s="9">
        <f t="shared" si="2"/>
        <v>8637.5999999999985</v>
      </c>
      <c r="O50" s="9"/>
      <c r="P50" s="9"/>
      <c r="Q50" s="10" t="s">
        <v>25</v>
      </c>
    </row>
    <row r="51" spans="1:17" s="11" customFormat="1" ht="39.950000000000003" customHeight="1" x14ac:dyDescent="0.3">
      <c r="A51" s="18" t="s">
        <v>575</v>
      </c>
      <c r="B51" s="19" t="s">
        <v>2305</v>
      </c>
      <c r="C51" s="20"/>
      <c r="D51" s="25" t="s">
        <v>2394</v>
      </c>
      <c r="E51" s="12" t="s">
        <v>2316</v>
      </c>
      <c r="F51" s="18" t="s">
        <v>1781</v>
      </c>
      <c r="G51" s="8"/>
      <c r="H51" s="8">
        <v>1</v>
      </c>
      <c r="I51" s="8"/>
      <c r="J51" s="8"/>
      <c r="K51" s="8">
        <f t="shared" si="3"/>
        <v>1</v>
      </c>
      <c r="L51" s="8"/>
      <c r="M51" s="9">
        <v>18327.759999999998</v>
      </c>
      <c r="N51" s="9">
        <f t="shared" si="2"/>
        <v>18327.759999999998</v>
      </c>
      <c r="O51" s="9"/>
      <c r="P51" s="9"/>
      <c r="Q51" s="10" t="s">
        <v>25</v>
      </c>
    </row>
    <row r="52" spans="1:17" s="11" customFormat="1" ht="39.950000000000003" customHeight="1" x14ac:dyDescent="0.3">
      <c r="A52" s="18" t="s">
        <v>576</v>
      </c>
      <c r="B52" s="19" t="s">
        <v>2303</v>
      </c>
      <c r="C52" s="20"/>
      <c r="D52" s="53" t="s">
        <v>2479</v>
      </c>
      <c r="E52" s="12" t="s">
        <v>2492</v>
      </c>
      <c r="F52" s="21" t="s">
        <v>2480</v>
      </c>
      <c r="G52" s="8"/>
      <c r="H52" s="8">
        <v>500</v>
      </c>
      <c r="I52" s="8"/>
      <c r="J52" s="8"/>
      <c r="K52" s="8">
        <f t="shared" si="3"/>
        <v>500</v>
      </c>
      <c r="L52" s="8"/>
      <c r="M52" s="9">
        <v>36.702719999999999</v>
      </c>
      <c r="N52" s="9">
        <f t="shared" si="2"/>
        <v>18351.36</v>
      </c>
      <c r="O52" s="9"/>
      <c r="P52" s="9"/>
      <c r="Q52" s="10" t="s">
        <v>25</v>
      </c>
    </row>
    <row r="53" spans="1:17" s="11" customFormat="1" ht="39.950000000000003" customHeight="1" x14ac:dyDescent="0.3">
      <c r="A53" s="18" t="s">
        <v>577</v>
      </c>
      <c r="B53" s="19" t="s">
        <v>2303</v>
      </c>
      <c r="C53" s="20"/>
      <c r="D53" s="53" t="s">
        <v>2479</v>
      </c>
      <c r="E53" s="12" t="s">
        <v>2488</v>
      </c>
      <c r="F53" s="21" t="s">
        <v>2480</v>
      </c>
      <c r="G53" s="8"/>
      <c r="H53" s="8">
        <v>1000</v>
      </c>
      <c r="I53" s="8"/>
      <c r="J53" s="8"/>
      <c r="K53" s="8">
        <f t="shared" si="3"/>
        <v>1000</v>
      </c>
      <c r="L53" s="8"/>
      <c r="M53" s="9">
        <v>91.770960000000002</v>
      </c>
      <c r="N53" s="9">
        <f t="shared" si="2"/>
        <v>91770.96</v>
      </c>
      <c r="O53" s="9"/>
      <c r="P53" s="9"/>
      <c r="Q53" s="10" t="s">
        <v>25</v>
      </c>
    </row>
    <row r="54" spans="1:17" s="11" customFormat="1" ht="39.950000000000003" customHeight="1" x14ac:dyDescent="0.3">
      <c r="A54" s="18" t="s">
        <v>578</v>
      </c>
      <c r="B54" s="19" t="s">
        <v>2303</v>
      </c>
      <c r="C54" s="20"/>
      <c r="D54" s="53" t="s">
        <v>2479</v>
      </c>
      <c r="E54" s="12" t="s">
        <v>2491</v>
      </c>
      <c r="F54" s="21" t="s">
        <v>2480</v>
      </c>
      <c r="G54" s="8"/>
      <c r="H54" s="8">
        <v>500</v>
      </c>
      <c r="I54" s="8"/>
      <c r="J54" s="8"/>
      <c r="K54" s="8">
        <f t="shared" si="3"/>
        <v>500</v>
      </c>
      <c r="L54" s="8"/>
      <c r="M54" s="9">
        <v>20.602799999999998</v>
      </c>
      <c r="N54" s="9">
        <f t="shared" si="2"/>
        <v>10301.4</v>
      </c>
      <c r="O54" s="9"/>
      <c r="P54" s="9"/>
      <c r="Q54" s="10" t="s">
        <v>25</v>
      </c>
    </row>
    <row r="55" spans="1:17" s="11" customFormat="1" ht="39.950000000000003" customHeight="1" x14ac:dyDescent="0.3">
      <c r="A55" s="18" t="s">
        <v>579</v>
      </c>
      <c r="B55" s="19" t="s">
        <v>2303</v>
      </c>
      <c r="C55" s="20"/>
      <c r="D55" s="53" t="s">
        <v>2479</v>
      </c>
      <c r="E55" s="12" t="s">
        <v>2490</v>
      </c>
      <c r="F55" s="21" t="s">
        <v>2480</v>
      </c>
      <c r="G55" s="8"/>
      <c r="H55" s="8">
        <v>500</v>
      </c>
      <c r="I55" s="8"/>
      <c r="J55" s="8"/>
      <c r="K55" s="8">
        <f t="shared" si="3"/>
        <v>500</v>
      </c>
      <c r="L55" s="8"/>
      <c r="M55" s="9">
        <v>20.602799999999998</v>
      </c>
      <c r="N55" s="9">
        <f t="shared" si="2"/>
        <v>10301.4</v>
      </c>
      <c r="O55" s="9"/>
      <c r="P55" s="9"/>
      <c r="Q55" s="10" t="s">
        <v>25</v>
      </c>
    </row>
    <row r="56" spans="1:17" s="11" customFormat="1" ht="39.950000000000003" customHeight="1" x14ac:dyDescent="0.3">
      <c r="A56" s="18" t="s">
        <v>580</v>
      </c>
      <c r="B56" s="19" t="s">
        <v>2303</v>
      </c>
      <c r="C56" s="20"/>
      <c r="D56" s="53" t="s">
        <v>2479</v>
      </c>
      <c r="E56" s="12" t="s">
        <v>2489</v>
      </c>
      <c r="F56" s="21" t="s">
        <v>2480</v>
      </c>
      <c r="G56" s="8"/>
      <c r="H56" s="8">
        <v>1000</v>
      </c>
      <c r="I56" s="8"/>
      <c r="J56" s="8"/>
      <c r="K56" s="8">
        <f t="shared" si="3"/>
        <v>1000</v>
      </c>
      <c r="L56" s="8"/>
      <c r="M56" s="9">
        <v>8.6800800000000002</v>
      </c>
      <c r="N56" s="9">
        <f t="shared" si="2"/>
        <v>8680.08</v>
      </c>
      <c r="O56" s="9"/>
      <c r="P56" s="9"/>
      <c r="Q56" s="10" t="s">
        <v>25</v>
      </c>
    </row>
    <row r="57" spans="1:17" s="11" customFormat="1" ht="39.950000000000003" customHeight="1" x14ac:dyDescent="0.3">
      <c r="A57" s="18" t="s">
        <v>581</v>
      </c>
      <c r="B57" s="23" t="s">
        <v>2303</v>
      </c>
      <c r="C57" s="8"/>
      <c r="D57" s="25" t="s">
        <v>2394</v>
      </c>
      <c r="E57" s="12" t="s">
        <v>2477</v>
      </c>
      <c r="F57" s="18" t="s">
        <v>1781</v>
      </c>
      <c r="G57" s="8">
        <v>1000</v>
      </c>
      <c r="H57" s="8">
        <v>1000</v>
      </c>
      <c r="I57" s="8">
        <v>500</v>
      </c>
      <c r="J57" s="8"/>
      <c r="K57" s="8">
        <f t="shared" si="3"/>
        <v>1500</v>
      </c>
      <c r="L57" s="8"/>
      <c r="M57" s="9">
        <v>8.6800800000000002</v>
      </c>
      <c r="N57" s="9">
        <f t="shared" si="2"/>
        <v>13020.12</v>
      </c>
      <c r="O57" s="9"/>
      <c r="P57" s="9"/>
      <c r="Q57" s="10" t="s">
        <v>25</v>
      </c>
    </row>
    <row r="58" spans="1:17" s="11" customFormat="1" ht="39.950000000000003" customHeight="1" x14ac:dyDescent="0.3">
      <c r="A58" s="18" t="s">
        <v>582</v>
      </c>
      <c r="B58" s="23"/>
      <c r="C58" s="8"/>
      <c r="D58" s="25" t="s">
        <v>2394</v>
      </c>
      <c r="E58" s="12" t="s">
        <v>30</v>
      </c>
      <c r="F58" s="18" t="s">
        <v>1781</v>
      </c>
      <c r="G58" s="8">
        <v>100</v>
      </c>
      <c r="H58" s="8"/>
      <c r="I58" s="8">
        <v>10</v>
      </c>
      <c r="J58" s="8"/>
      <c r="K58" s="8">
        <f t="shared" ref="K58:K66" si="4">+G58+H58-I58</f>
        <v>90</v>
      </c>
      <c r="L58" s="8"/>
      <c r="M58" s="9">
        <v>98.42</v>
      </c>
      <c r="N58" s="9">
        <f t="shared" si="2"/>
        <v>8857.7999999999993</v>
      </c>
      <c r="O58" s="9"/>
      <c r="P58" s="9"/>
      <c r="Q58" s="10" t="s">
        <v>25</v>
      </c>
    </row>
    <row r="59" spans="1:17" s="11" customFormat="1" ht="39.950000000000003" customHeight="1" x14ac:dyDescent="0.3">
      <c r="A59" s="18" t="s">
        <v>583</v>
      </c>
      <c r="B59" s="23" t="s">
        <v>4</v>
      </c>
      <c r="C59" s="8"/>
      <c r="D59" s="25" t="s">
        <v>2394</v>
      </c>
      <c r="E59" s="12" t="s">
        <v>31</v>
      </c>
      <c r="F59" s="18" t="s">
        <v>1781</v>
      </c>
      <c r="G59" s="8">
        <v>1</v>
      </c>
      <c r="H59" s="8"/>
      <c r="I59" s="8"/>
      <c r="J59" s="8"/>
      <c r="K59" s="8">
        <f t="shared" si="4"/>
        <v>1</v>
      </c>
      <c r="L59" s="8"/>
      <c r="M59" s="9">
        <v>18600</v>
      </c>
      <c r="N59" s="9">
        <f t="shared" si="2"/>
        <v>18600</v>
      </c>
      <c r="O59" s="9"/>
      <c r="P59" s="9"/>
      <c r="Q59" s="10" t="s">
        <v>25</v>
      </c>
    </row>
    <row r="60" spans="1:17" s="11" customFormat="1" ht="39.950000000000003" customHeight="1" x14ac:dyDescent="0.3">
      <c r="A60" s="18" t="s">
        <v>584</v>
      </c>
      <c r="B60" s="23"/>
      <c r="C60" s="8"/>
      <c r="D60" s="25" t="s">
        <v>2437</v>
      </c>
      <c r="E60" s="12" t="s">
        <v>1653</v>
      </c>
      <c r="F60" s="18" t="s">
        <v>1780</v>
      </c>
      <c r="G60" s="8">
        <v>2</v>
      </c>
      <c r="H60" s="8"/>
      <c r="I60" s="8">
        <v>1</v>
      </c>
      <c r="J60" s="8">
        <v>0</v>
      </c>
      <c r="K60" s="8">
        <f t="shared" si="4"/>
        <v>1</v>
      </c>
      <c r="L60" s="8"/>
      <c r="M60" s="9">
        <v>473</v>
      </c>
      <c r="N60" s="9">
        <f t="shared" si="2"/>
        <v>473</v>
      </c>
      <c r="O60" s="9"/>
      <c r="P60" s="9"/>
      <c r="Q60" s="10" t="s">
        <v>1652</v>
      </c>
    </row>
    <row r="61" spans="1:17" s="11" customFormat="1" ht="39.950000000000003" customHeight="1" x14ac:dyDescent="0.3">
      <c r="A61" s="18" t="s">
        <v>585</v>
      </c>
      <c r="B61" s="23"/>
      <c r="C61" s="8"/>
      <c r="D61" s="25" t="s">
        <v>2437</v>
      </c>
      <c r="E61" s="12" t="s">
        <v>1658</v>
      </c>
      <c r="F61" s="18" t="s">
        <v>1780</v>
      </c>
      <c r="G61" s="8">
        <v>0.5</v>
      </c>
      <c r="H61" s="8"/>
      <c r="I61" s="8"/>
      <c r="J61" s="8">
        <v>0</v>
      </c>
      <c r="K61" s="8">
        <f t="shared" si="4"/>
        <v>0.5</v>
      </c>
      <c r="L61" s="8"/>
      <c r="M61" s="9">
        <v>473</v>
      </c>
      <c r="N61" s="9">
        <f t="shared" si="2"/>
        <v>236.5</v>
      </c>
      <c r="O61" s="9"/>
      <c r="P61" s="9"/>
      <c r="Q61" s="10" t="s">
        <v>1652</v>
      </c>
    </row>
    <row r="62" spans="1:17" s="11" customFormat="1" ht="39.950000000000003" customHeight="1" x14ac:dyDescent="0.3">
      <c r="A62" s="18" t="s">
        <v>586</v>
      </c>
      <c r="B62" s="23"/>
      <c r="C62" s="8"/>
      <c r="D62" s="25" t="s">
        <v>2437</v>
      </c>
      <c r="E62" s="12" t="s">
        <v>1654</v>
      </c>
      <c r="F62" s="18" t="s">
        <v>1780</v>
      </c>
      <c r="G62" s="8">
        <v>1</v>
      </c>
      <c r="H62" s="8"/>
      <c r="I62" s="8"/>
      <c r="J62" s="8">
        <v>0</v>
      </c>
      <c r="K62" s="8">
        <f t="shared" si="4"/>
        <v>1</v>
      </c>
      <c r="L62" s="8"/>
      <c r="M62" s="9">
        <v>473</v>
      </c>
      <c r="N62" s="9">
        <f t="shared" si="2"/>
        <v>473</v>
      </c>
      <c r="O62" s="9"/>
      <c r="P62" s="9"/>
      <c r="Q62" s="10" t="s">
        <v>1652</v>
      </c>
    </row>
    <row r="63" spans="1:17" s="11" customFormat="1" ht="39.950000000000003" customHeight="1" x14ac:dyDescent="0.3">
      <c r="A63" s="18" t="s">
        <v>587</v>
      </c>
      <c r="B63" s="23"/>
      <c r="C63" s="8"/>
      <c r="D63" s="25" t="s">
        <v>2437</v>
      </c>
      <c r="E63" s="12" t="s">
        <v>1656</v>
      </c>
      <c r="F63" s="18" t="s">
        <v>1780</v>
      </c>
      <c r="G63" s="8">
        <v>1</v>
      </c>
      <c r="H63" s="8"/>
      <c r="I63" s="8"/>
      <c r="J63" s="8">
        <v>0</v>
      </c>
      <c r="K63" s="8">
        <f t="shared" si="4"/>
        <v>1</v>
      </c>
      <c r="L63" s="8"/>
      <c r="M63" s="9">
        <v>473</v>
      </c>
      <c r="N63" s="9">
        <f t="shared" si="2"/>
        <v>473</v>
      </c>
      <c r="O63" s="9"/>
      <c r="P63" s="9"/>
      <c r="Q63" s="10" t="s">
        <v>1652</v>
      </c>
    </row>
    <row r="64" spans="1:17" s="11" customFormat="1" ht="39.950000000000003" customHeight="1" x14ac:dyDescent="0.3">
      <c r="A64" s="18" t="s">
        <v>588</v>
      </c>
      <c r="B64" s="23"/>
      <c r="C64" s="8"/>
      <c r="D64" s="25" t="s">
        <v>2437</v>
      </c>
      <c r="E64" s="12" t="s">
        <v>1655</v>
      </c>
      <c r="F64" s="18" t="s">
        <v>1780</v>
      </c>
      <c r="G64" s="8">
        <v>1</v>
      </c>
      <c r="H64" s="8"/>
      <c r="I64" s="8"/>
      <c r="J64" s="8">
        <v>0</v>
      </c>
      <c r="K64" s="8">
        <f t="shared" si="4"/>
        <v>1</v>
      </c>
      <c r="L64" s="8"/>
      <c r="M64" s="9">
        <v>473</v>
      </c>
      <c r="N64" s="9">
        <f t="shared" si="2"/>
        <v>473</v>
      </c>
      <c r="O64" s="9"/>
      <c r="P64" s="9"/>
      <c r="Q64" s="10" t="s">
        <v>1652</v>
      </c>
    </row>
    <row r="65" spans="1:17" s="11" customFormat="1" ht="39.950000000000003" customHeight="1" x14ac:dyDescent="0.3">
      <c r="A65" s="18" t="s">
        <v>589</v>
      </c>
      <c r="B65" s="23"/>
      <c r="C65" s="8"/>
      <c r="D65" s="25" t="s">
        <v>2437</v>
      </c>
      <c r="E65" s="12" t="s">
        <v>1657</v>
      </c>
      <c r="F65" s="18" t="s">
        <v>1780</v>
      </c>
      <c r="G65" s="8">
        <v>0.5</v>
      </c>
      <c r="H65" s="8"/>
      <c r="I65" s="8"/>
      <c r="J65" s="8">
        <v>0</v>
      </c>
      <c r="K65" s="8">
        <f t="shared" si="4"/>
        <v>0.5</v>
      </c>
      <c r="L65" s="8"/>
      <c r="M65" s="9">
        <v>473</v>
      </c>
      <c r="N65" s="9">
        <f t="shared" si="2"/>
        <v>236.5</v>
      </c>
      <c r="O65" s="9"/>
      <c r="P65" s="9"/>
      <c r="Q65" s="10" t="s">
        <v>1652</v>
      </c>
    </row>
    <row r="66" spans="1:17" s="11" customFormat="1" ht="20.25" x14ac:dyDescent="0.3">
      <c r="A66" s="18" t="s">
        <v>590</v>
      </c>
      <c r="B66" s="23">
        <v>45392</v>
      </c>
      <c r="C66" s="8"/>
      <c r="D66" s="25" t="s">
        <v>2437</v>
      </c>
      <c r="E66" s="12" t="s">
        <v>1691</v>
      </c>
      <c r="F66" s="18" t="s">
        <v>1780</v>
      </c>
      <c r="G66" s="8">
        <v>1</v>
      </c>
      <c r="H66" s="8"/>
      <c r="I66" s="8"/>
      <c r="J66" s="8">
        <v>0</v>
      </c>
      <c r="K66" s="8">
        <f t="shared" si="4"/>
        <v>1</v>
      </c>
      <c r="L66" s="8"/>
      <c r="M66" s="9">
        <v>473</v>
      </c>
      <c r="N66" s="9">
        <f t="shared" si="2"/>
        <v>473</v>
      </c>
      <c r="O66" s="9"/>
      <c r="P66" s="9"/>
      <c r="Q66" s="10" t="s">
        <v>1652</v>
      </c>
    </row>
    <row r="67" spans="1:17" s="11" customFormat="1" ht="39.950000000000003" customHeight="1" x14ac:dyDescent="0.3">
      <c r="A67" s="18" t="s">
        <v>591</v>
      </c>
      <c r="B67" s="19" t="s">
        <v>2337</v>
      </c>
      <c r="C67" s="20">
        <v>30</v>
      </c>
      <c r="D67" s="25" t="s">
        <v>2318</v>
      </c>
      <c r="E67" s="12" t="s">
        <v>2343</v>
      </c>
      <c r="F67" s="18" t="s">
        <v>1779</v>
      </c>
      <c r="G67" s="8"/>
      <c r="H67" s="8">
        <v>2</v>
      </c>
      <c r="I67" s="8"/>
      <c r="J67" s="8"/>
      <c r="K67" s="8">
        <f t="shared" ref="K67:K72" si="5">+G67+H67-I67+J67</f>
        <v>2</v>
      </c>
      <c r="L67" s="8"/>
      <c r="M67" s="9">
        <v>1016.66</v>
      </c>
      <c r="N67" s="9">
        <f t="shared" si="2"/>
        <v>2033.32</v>
      </c>
      <c r="O67" s="9"/>
      <c r="P67" s="9"/>
      <c r="Q67" s="10" t="s">
        <v>25</v>
      </c>
    </row>
    <row r="68" spans="1:17" s="11" customFormat="1" ht="39.950000000000003" customHeight="1" x14ac:dyDescent="0.3">
      <c r="A68" s="18" t="s">
        <v>592</v>
      </c>
      <c r="B68" s="19">
        <v>45783</v>
      </c>
      <c r="C68" s="20">
        <v>30</v>
      </c>
      <c r="D68" s="53" t="s">
        <v>2318</v>
      </c>
      <c r="E68" s="12" t="s">
        <v>2395</v>
      </c>
      <c r="F68" s="18" t="s">
        <v>1779</v>
      </c>
      <c r="G68" s="8"/>
      <c r="H68" s="8">
        <v>6</v>
      </c>
      <c r="I68" s="8"/>
      <c r="J68" s="8"/>
      <c r="K68" s="8">
        <f t="shared" si="5"/>
        <v>6</v>
      </c>
      <c r="L68" s="8"/>
      <c r="M68" s="9">
        <v>459.02</v>
      </c>
      <c r="N68" s="9">
        <f t="shared" si="2"/>
        <v>2754.12</v>
      </c>
      <c r="O68" s="9"/>
      <c r="P68" s="9"/>
      <c r="Q68" s="10" t="s">
        <v>25</v>
      </c>
    </row>
    <row r="69" spans="1:17" s="11" customFormat="1" ht="39.950000000000003" customHeight="1" x14ac:dyDescent="0.3">
      <c r="A69" s="18" t="s">
        <v>593</v>
      </c>
      <c r="B69" s="19">
        <v>45783</v>
      </c>
      <c r="C69" s="20">
        <v>30</v>
      </c>
      <c r="D69" s="53" t="s">
        <v>2318</v>
      </c>
      <c r="E69" s="12" t="s">
        <v>2397</v>
      </c>
      <c r="F69" s="18" t="s">
        <v>1779</v>
      </c>
      <c r="G69" s="8"/>
      <c r="H69" s="8">
        <v>8</v>
      </c>
      <c r="I69" s="8"/>
      <c r="J69" s="8"/>
      <c r="K69" s="8">
        <f t="shared" si="5"/>
        <v>8</v>
      </c>
      <c r="L69" s="8"/>
      <c r="M69" s="9">
        <v>264.32</v>
      </c>
      <c r="N69" s="9">
        <f t="shared" si="2"/>
        <v>2114.56</v>
      </c>
      <c r="O69" s="9"/>
      <c r="P69" s="9"/>
      <c r="Q69" s="10" t="s">
        <v>25</v>
      </c>
    </row>
    <row r="70" spans="1:17" s="11" customFormat="1" ht="39.950000000000003" customHeight="1" x14ac:dyDescent="0.3">
      <c r="A70" s="18" t="s">
        <v>594</v>
      </c>
      <c r="B70" s="23">
        <v>45644</v>
      </c>
      <c r="C70" s="8">
        <v>10</v>
      </c>
      <c r="D70" s="25" t="s">
        <v>2390</v>
      </c>
      <c r="E70" s="12" t="s">
        <v>1647</v>
      </c>
      <c r="F70" s="18" t="s">
        <v>1777</v>
      </c>
      <c r="G70" s="8">
        <v>2</v>
      </c>
      <c r="H70" s="8">
        <v>7</v>
      </c>
      <c r="I70" s="8">
        <f>2+2+1+1</f>
        <v>6</v>
      </c>
      <c r="J70" s="8"/>
      <c r="K70" s="8">
        <f t="shared" si="5"/>
        <v>3</v>
      </c>
      <c r="L70" s="8"/>
      <c r="M70" s="9">
        <v>5959.44</v>
      </c>
      <c r="N70" s="9">
        <f t="shared" si="2"/>
        <v>17878.32</v>
      </c>
      <c r="O70" s="9"/>
      <c r="P70" s="9"/>
      <c r="Q70" s="10" t="s">
        <v>1648</v>
      </c>
    </row>
    <row r="71" spans="1:17" s="11" customFormat="1" ht="39.950000000000003" customHeight="1" x14ac:dyDescent="0.3">
      <c r="A71" s="18" t="s">
        <v>595</v>
      </c>
      <c r="B71" s="23">
        <v>45797</v>
      </c>
      <c r="C71" s="8">
        <v>10</v>
      </c>
      <c r="D71" s="25" t="s">
        <v>2390</v>
      </c>
      <c r="E71" s="12" t="s">
        <v>2115</v>
      </c>
      <c r="F71" s="18" t="s">
        <v>1777</v>
      </c>
      <c r="G71" s="8"/>
      <c r="H71" s="8">
        <v>4</v>
      </c>
      <c r="I71" s="8"/>
      <c r="J71" s="8"/>
      <c r="K71" s="8">
        <f t="shared" si="5"/>
        <v>4</v>
      </c>
      <c r="L71" s="8"/>
      <c r="M71" s="9"/>
      <c r="N71" s="9">
        <f t="shared" si="2"/>
        <v>0</v>
      </c>
      <c r="O71" s="9"/>
      <c r="P71" s="9"/>
      <c r="Q71" s="10" t="s">
        <v>1648</v>
      </c>
    </row>
    <row r="72" spans="1:17" s="11" customFormat="1" ht="39.950000000000003" customHeight="1" x14ac:dyDescent="0.3">
      <c r="A72" s="18" t="s">
        <v>596</v>
      </c>
      <c r="B72" s="23">
        <v>45797</v>
      </c>
      <c r="C72" s="8">
        <v>10</v>
      </c>
      <c r="D72" s="25" t="s">
        <v>2390</v>
      </c>
      <c r="E72" s="12" t="s">
        <v>2291</v>
      </c>
      <c r="F72" s="18" t="s">
        <v>1777</v>
      </c>
      <c r="G72" s="8"/>
      <c r="H72" s="8">
        <v>5</v>
      </c>
      <c r="I72" s="8">
        <f>1+1</f>
        <v>2</v>
      </c>
      <c r="J72" s="8">
        <v>0</v>
      </c>
      <c r="K72" s="8">
        <f t="shared" si="5"/>
        <v>3</v>
      </c>
      <c r="L72" s="8"/>
      <c r="M72" s="9">
        <v>3000</v>
      </c>
      <c r="N72" s="9">
        <f>+L72*M72</f>
        <v>0</v>
      </c>
      <c r="O72" s="9"/>
      <c r="P72" s="9"/>
      <c r="Q72" s="10" t="s">
        <v>1648</v>
      </c>
    </row>
    <row r="73" spans="1:17" s="11" customFormat="1" ht="39.950000000000003" customHeight="1" x14ac:dyDescent="0.3">
      <c r="A73" s="18" t="s">
        <v>597</v>
      </c>
      <c r="B73" s="23">
        <v>45644</v>
      </c>
      <c r="C73" s="8">
        <v>10</v>
      </c>
      <c r="D73" s="25" t="s">
        <v>2390</v>
      </c>
      <c r="E73" s="12" t="s">
        <v>1649</v>
      </c>
      <c r="F73" s="18" t="s">
        <v>1777</v>
      </c>
      <c r="G73" s="8"/>
      <c r="H73" s="8">
        <v>2</v>
      </c>
      <c r="I73" s="8">
        <f>1+1</f>
        <v>2</v>
      </c>
      <c r="J73" s="8">
        <v>0</v>
      </c>
      <c r="K73" s="8">
        <f>+G73+H73-I73</f>
        <v>0</v>
      </c>
      <c r="L73" s="8"/>
      <c r="M73" s="9">
        <v>1534</v>
      </c>
      <c r="N73" s="9">
        <f>+L73*M73</f>
        <v>0</v>
      </c>
      <c r="O73" s="9"/>
      <c r="P73" s="9"/>
      <c r="Q73" s="10" t="s">
        <v>1648</v>
      </c>
    </row>
    <row r="74" spans="1:17" s="11" customFormat="1" ht="39.950000000000003" customHeight="1" x14ac:dyDescent="0.3">
      <c r="A74" s="18" t="s">
        <v>598</v>
      </c>
      <c r="B74" s="23">
        <v>45797</v>
      </c>
      <c r="C74" s="8">
        <v>10</v>
      </c>
      <c r="D74" s="25" t="s">
        <v>2390</v>
      </c>
      <c r="E74" s="12" t="s">
        <v>1650</v>
      </c>
      <c r="F74" s="18" t="s">
        <v>1784</v>
      </c>
      <c r="G74" s="8">
        <v>4</v>
      </c>
      <c r="H74" s="8">
        <v>4</v>
      </c>
      <c r="I74" s="8">
        <f>4+4</f>
        <v>8</v>
      </c>
      <c r="J74" s="8">
        <v>0</v>
      </c>
      <c r="K74" s="8">
        <f>+G74+H74-I74+J74</f>
        <v>0</v>
      </c>
      <c r="L74" s="8"/>
      <c r="M74" s="9">
        <v>6136</v>
      </c>
      <c r="N74" s="9">
        <f>+L74*M74</f>
        <v>0</v>
      </c>
      <c r="O74" s="9"/>
      <c r="P74" s="9"/>
      <c r="Q74" s="10" t="s">
        <v>1648</v>
      </c>
    </row>
    <row r="75" spans="1:17" s="11" customFormat="1" ht="39.950000000000003" customHeight="1" x14ac:dyDescent="0.3">
      <c r="A75" s="18" t="s">
        <v>599</v>
      </c>
      <c r="B75" s="23"/>
      <c r="C75" s="8"/>
      <c r="D75" s="25" t="s">
        <v>2385</v>
      </c>
      <c r="E75" s="12" t="s">
        <v>1752</v>
      </c>
      <c r="F75" s="18" t="s">
        <v>1779</v>
      </c>
      <c r="G75" s="8">
        <v>25</v>
      </c>
      <c r="H75" s="8"/>
      <c r="I75" s="8">
        <v>1</v>
      </c>
      <c r="J75" s="8"/>
      <c r="K75" s="8">
        <f>+G75+H75-I75</f>
        <v>24</v>
      </c>
      <c r="L75" s="8"/>
      <c r="M75" s="9">
        <v>317</v>
      </c>
      <c r="N75" s="9">
        <f t="shared" ref="N75:N81" si="6">+K75*M75</f>
        <v>7608</v>
      </c>
      <c r="O75" s="9"/>
      <c r="P75" s="9"/>
      <c r="Q75" s="10" t="s">
        <v>297</v>
      </c>
    </row>
    <row r="76" spans="1:17" s="11" customFormat="1" ht="39.950000000000003" customHeight="1" x14ac:dyDescent="0.3">
      <c r="A76" s="18" t="s">
        <v>600</v>
      </c>
      <c r="B76" s="23"/>
      <c r="C76" s="8"/>
      <c r="D76" s="25" t="s">
        <v>2318</v>
      </c>
      <c r="E76" s="12" t="s">
        <v>1502</v>
      </c>
      <c r="F76" s="18" t="s">
        <v>1779</v>
      </c>
      <c r="G76" s="8">
        <v>10</v>
      </c>
      <c r="H76" s="8">
        <v>0</v>
      </c>
      <c r="I76" s="8"/>
      <c r="J76" s="8"/>
      <c r="K76" s="8">
        <f>+G76+H76-I76+J76</f>
        <v>10</v>
      </c>
      <c r="L76" s="8"/>
      <c r="M76" s="9">
        <v>197.65</v>
      </c>
      <c r="N76" s="9">
        <f t="shared" si="6"/>
        <v>1976.5</v>
      </c>
      <c r="O76" s="9"/>
      <c r="P76" s="9"/>
      <c r="Q76" s="10" t="s">
        <v>109</v>
      </c>
    </row>
    <row r="77" spans="1:17" s="11" customFormat="1" ht="20.25" x14ac:dyDescent="0.3">
      <c r="A77" s="18" t="s">
        <v>601</v>
      </c>
      <c r="B77" s="23"/>
      <c r="C77" s="8"/>
      <c r="D77" s="25" t="s">
        <v>2385</v>
      </c>
      <c r="E77" s="12" t="s">
        <v>1501</v>
      </c>
      <c r="F77" s="18" t="s">
        <v>1779</v>
      </c>
      <c r="G77" s="8">
        <v>8</v>
      </c>
      <c r="H77" s="8"/>
      <c r="I77" s="8"/>
      <c r="J77" s="8"/>
      <c r="K77" s="8">
        <f>+G77+H77+-I77</f>
        <v>8</v>
      </c>
      <c r="L77" s="8"/>
      <c r="M77" s="9">
        <v>200</v>
      </c>
      <c r="N77" s="9">
        <f t="shared" si="6"/>
        <v>1600</v>
      </c>
      <c r="O77" s="9"/>
      <c r="P77" s="9"/>
      <c r="Q77" s="10" t="s">
        <v>297</v>
      </c>
    </row>
    <row r="78" spans="1:17" s="11" customFormat="1" ht="40.5" x14ac:dyDescent="0.3">
      <c r="A78" s="18" t="s">
        <v>602</v>
      </c>
      <c r="B78" s="23"/>
      <c r="C78" s="8"/>
      <c r="D78" s="25" t="s">
        <v>2438</v>
      </c>
      <c r="E78" s="12" t="s">
        <v>1754</v>
      </c>
      <c r="F78" s="18" t="s">
        <v>1779</v>
      </c>
      <c r="G78" s="8">
        <v>0</v>
      </c>
      <c r="H78" s="8"/>
      <c r="I78" s="8"/>
      <c r="J78" s="8"/>
      <c r="K78" s="8">
        <f>+G78+H78+-I78</f>
        <v>0</v>
      </c>
      <c r="L78" s="8">
        <v>0</v>
      </c>
      <c r="M78" s="9">
        <v>244</v>
      </c>
      <c r="N78" s="9">
        <f t="shared" si="6"/>
        <v>0</v>
      </c>
      <c r="O78" s="9"/>
      <c r="P78" s="9"/>
      <c r="Q78" s="10" t="s">
        <v>235</v>
      </c>
    </row>
    <row r="79" spans="1:17" s="11" customFormat="1" ht="39.950000000000003" customHeight="1" x14ac:dyDescent="0.3">
      <c r="A79" s="18" t="s">
        <v>603</v>
      </c>
      <c r="B79" s="23"/>
      <c r="C79" s="8"/>
      <c r="D79" s="25" t="s">
        <v>2438</v>
      </c>
      <c r="E79" s="12" t="s">
        <v>246</v>
      </c>
      <c r="F79" s="18" t="s">
        <v>1779</v>
      </c>
      <c r="G79" s="8">
        <f>7-1-3</f>
        <v>3</v>
      </c>
      <c r="H79" s="8"/>
      <c r="I79" s="8">
        <v>3</v>
      </c>
      <c r="J79" s="8"/>
      <c r="K79" s="8">
        <f>+G79+H79+-I79</f>
        <v>0</v>
      </c>
      <c r="L79" s="8">
        <v>0</v>
      </c>
      <c r="M79" s="9">
        <v>75</v>
      </c>
      <c r="N79" s="9">
        <f t="shared" si="6"/>
        <v>0</v>
      </c>
      <c r="O79" s="9"/>
      <c r="P79" s="9"/>
      <c r="Q79" s="10" t="s">
        <v>235</v>
      </c>
    </row>
    <row r="80" spans="1:17" s="11" customFormat="1" ht="40.5" x14ac:dyDescent="0.3">
      <c r="A80" s="18" t="s">
        <v>604</v>
      </c>
      <c r="B80" s="23"/>
      <c r="C80" s="8"/>
      <c r="D80" s="25" t="s">
        <v>2438</v>
      </c>
      <c r="E80" s="12" t="s">
        <v>1532</v>
      </c>
      <c r="F80" s="18" t="s">
        <v>1779</v>
      </c>
      <c r="G80" s="8">
        <v>56</v>
      </c>
      <c r="H80" s="8">
        <v>19</v>
      </c>
      <c r="I80" s="8">
        <f>3+1+3+12+3+3+2+3+2+2+2+2+2+2+22+2+3+4+1+1</f>
        <v>75</v>
      </c>
      <c r="J80" s="8"/>
      <c r="K80" s="8">
        <f>+G80+H80-I80+J80</f>
        <v>0</v>
      </c>
      <c r="L80" s="8">
        <v>0</v>
      </c>
      <c r="M80" s="9">
        <v>167.56</v>
      </c>
      <c r="N80" s="9">
        <f t="shared" si="6"/>
        <v>0</v>
      </c>
      <c r="O80" s="9"/>
      <c r="P80" s="9"/>
      <c r="Q80" s="10" t="s">
        <v>235</v>
      </c>
    </row>
    <row r="81" spans="1:17" s="11" customFormat="1" ht="40.5" x14ac:dyDescent="0.3">
      <c r="A81" s="18" t="s">
        <v>605</v>
      </c>
      <c r="B81" s="23">
        <v>45518</v>
      </c>
      <c r="C81" s="8"/>
      <c r="D81" s="25" t="s">
        <v>2438</v>
      </c>
      <c r="E81" s="12" t="s">
        <v>247</v>
      </c>
      <c r="F81" s="18" t="s">
        <v>1779</v>
      </c>
      <c r="G81" s="8">
        <v>0</v>
      </c>
      <c r="H81" s="8"/>
      <c r="I81" s="8"/>
      <c r="J81" s="8"/>
      <c r="K81" s="8">
        <f>+G81+H81+-I81</f>
        <v>0</v>
      </c>
      <c r="L81" s="8">
        <v>0</v>
      </c>
      <c r="M81" s="9">
        <v>248</v>
      </c>
      <c r="N81" s="9">
        <f t="shared" si="6"/>
        <v>0</v>
      </c>
      <c r="O81" s="9"/>
      <c r="P81" s="9"/>
      <c r="Q81" s="10" t="s">
        <v>235</v>
      </c>
    </row>
    <row r="82" spans="1:17" s="11" customFormat="1" ht="39.950000000000003" customHeight="1" x14ac:dyDescent="0.3">
      <c r="A82" s="18" t="s">
        <v>606</v>
      </c>
      <c r="B82" s="23">
        <v>45392</v>
      </c>
      <c r="C82" s="8">
        <v>10</v>
      </c>
      <c r="D82" s="25" t="s">
        <v>2436</v>
      </c>
      <c r="E82" s="12" t="s">
        <v>1686</v>
      </c>
      <c r="F82" s="18" t="s">
        <v>1779</v>
      </c>
      <c r="G82" s="8">
        <v>4</v>
      </c>
      <c r="H82" s="8"/>
      <c r="I82" s="8"/>
      <c r="J82" s="8">
        <v>0</v>
      </c>
      <c r="K82" s="8">
        <f>+G82+H82-I82+J82</f>
        <v>4</v>
      </c>
      <c r="L82" s="8"/>
      <c r="M82" s="9">
        <v>319.5</v>
      </c>
      <c r="N82" s="9">
        <v>1278</v>
      </c>
      <c r="O82" s="9"/>
      <c r="P82" s="9"/>
      <c r="Q82" s="10" t="s">
        <v>1887</v>
      </c>
    </row>
    <row r="83" spans="1:17" s="11" customFormat="1" ht="40.5" x14ac:dyDescent="0.3">
      <c r="A83" s="18" t="s">
        <v>607</v>
      </c>
      <c r="B83" s="23">
        <v>45392</v>
      </c>
      <c r="C83" s="8">
        <v>10</v>
      </c>
      <c r="D83" s="25" t="s">
        <v>2436</v>
      </c>
      <c r="E83" s="12" t="s">
        <v>1685</v>
      </c>
      <c r="F83" s="18" t="s">
        <v>1888</v>
      </c>
      <c r="G83" s="8">
        <v>4</v>
      </c>
      <c r="H83" s="8"/>
      <c r="I83" s="8"/>
      <c r="J83" s="8">
        <v>0</v>
      </c>
      <c r="K83" s="8">
        <f>+G83+H83-I83+J83</f>
        <v>4</v>
      </c>
      <c r="L83" s="8"/>
      <c r="M83" s="9">
        <v>337.5</v>
      </c>
      <c r="N83" s="9">
        <v>1350</v>
      </c>
      <c r="O83" s="9"/>
      <c r="P83" s="9"/>
      <c r="Q83" s="10" t="s">
        <v>1887</v>
      </c>
    </row>
    <row r="84" spans="1:17" s="11" customFormat="1" ht="39.950000000000003" customHeight="1" x14ac:dyDescent="0.3">
      <c r="A84" s="18" t="s">
        <v>608</v>
      </c>
      <c r="B84" s="23"/>
      <c r="C84" s="8"/>
      <c r="D84" s="25"/>
      <c r="E84" s="12" t="s">
        <v>1226</v>
      </c>
      <c r="F84" s="18" t="s">
        <v>1779</v>
      </c>
      <c r="G84" s="8">
        <v>12</v>
      </c>
      <c r="H84" s="8"/>
      <c r="I84" s="8">
        <v>1</v>
      </c>
      <c r="J84" s="8"/>
      <c r="K84" s="8">
        <f>+G84+H84+-I84</f>
        <v>11</v>
      </c>
      <c r="L84" s="8">
        <v>11</v>
      </c>
      <c r="M84" s="9">
        <v>30</v>
      </c>
      <c r="N84" s="9">
        <f>+K84*M84</f>
        <v>330</v>
      </c>
      <c r="O84" s="9"/>
      <c r="P84" s="9"/>
      <c r="Q84" s="10" t="s">
        <v>433</v>
      </c>
    </row>
    <row r="85" spans="1:17" s="11" customFormat="1" ht="39.950000000000003" customHeight="1" x14ac:dyDescent="0.3">
      <c r="A85" s="18" t="s">
        <v>609</v>
      </c>
      <c r="B85" s="23">
        <v>45904</v>
      </c>
      <c r="C85" s="8"/>
      <c r="D85" s="25" t="s">
        <v>2438</v>
      </c>
      <c r="E85" s="12" t="s">
        <v>1746</v>
      </c>
      <c r="F85" s="18" t="s">
        <v>1779</v>
      </c>
      <c r="G85" s="8"/>
      <c r="H85" s="8">
        <v>1</v>
      </c>
      <c r="I85" s="8"/>
      <c r="J85" s="8"/>
      <c r="K85" s="8">
        <f>+G85+H85+-I85</f>
        <v>1</v>
      </c>
      <c r="L85" s="8"/>
      <c r="M85" s="9"/>
      <c r="N85" s="9">
        <f>+K85*M85</f>
        <v>0</v>
      </c>
      <c r="O85" s="9"/>
      <c r="P85" s="9"/>
      <c r="Q85" s="10" t="s">
        <v>235</v>
      </c>
    </row>
    <row r="86" spans="1:17" s="11" customFormat="1" ht="39.950000000000003" customHeight="1" x14ac:dyDescent="0.3">
      <c r="A86" s="18" t="s">
        <v>610</v>
      </c>
      <c r="B86" s="23">
        <v>45791</v>
      </c>
      <c r="C86" s="8"/>
      <c r="D86" s="25" t="s">
        <v>2319</v>
      </c>
      <c r="E86" s="12" t="s">
        <v>1790</v>
      </c>
      <c r="F86" s="18" t="s">
        <v>1779</v>
      </c>
      <c r="G86" s="8"/>
      <c r="H86" s="8">
        <v>10</v>
      </c>
      <c r="I86" s="8"/>
      <c r="J86" s="8"/>
      <c r="K86" s="8">
        <f>+G86+H86+-I86</f>
        <v>10</v>
      </c>
      <c r="L86" s="8"/>
      <c r="M86" s="9"/>
      <c r="N86" s="9"/>
      <c r="O86" s="9"/>
      <c r="P86" s="9"/>
      <c r="Q86" s="10" t="s">
        <v>1479</v>
      </c>
    </row>
    <row r="87" spans="1:17" s="11" customFormat="1" ht="39.950000000000003" customHeight="1" x14ac:dyDescent="0.3">
      <c r="A87" s="18" t="s">
        <v>611</v>
      </c>
      <c r="B87" s="19">
        <v>45783</v>
      </c>
      <c r="C87" s="20"/>
      <c r="D87" s="25" t="s">
        <v>2319</v>
      </c>
      <c r="E87" s="12" t="s">
        <v>2398</v>
      </c>
      <c r="F87" s="18" t="s">
        <v>1779</v>
      </c>
      <c r="G87" s="8"/>
      <c r="H87" s="8">
        <v>500</v>
      </c>
      <c r="I87" s="8"/>
      <c r="J87" s="8"/>
      <c r="K87" s="8">
        <f>+G87+H87+-I87</f>
        <v>500</v>
      </c>
      <c r="L87" s="8"/>
      <c r="M87" s="9">
        <v>3.54</v>
      </c>
      <c r="N87" s="9">
        <f>+K87*M87</f>
        <v>1770</v>
      </c>
      <c r="O87" s="9"/>
      <c r="P87" s="9"/>
      <c r="Q87" s="10" t="s">
        <v>25</v>
      </c>
    </row>
    <row r="88" spans="1:17" s="11" customFormat="1" ht="39.950000000000003" customHeight="1" x14ac:dyDescent="0.3">
      <c r="A88" s="18" t="s">
        <v>612</v>
      </c>
      <c r="B88" s="23">
        <v>45417</v>
      </c>
      <c r="C88" s="8"/>
      <c r="D88" s="25" t="s">
        <v>2327</v>
      </c>
      <c r="E88" s="12" t="s">
        <v>1386</v>
      </c>
      <c r="F88" s="18" t="s">
        <v>1779</v>
      </c>
      <c r="G88" s="8">
        <v>1</v>
      </c>
      <c r="H88" s="8"/>
      <c r="I88" s="8">
        <v>1</v>
      </c>
      <c r="J88" s="8"/>
      <c r="K88" s="8">
        <f>+G88+H88-I88+J88</f>
        <v>0</v>
      </c>
      <c r="L88" s="8"/>
      <c r="M88" s="9">
        <v>4425</v>
      </c>
      <c r="N88" s="9">
        <f>+K88*M88</f>
        <v>0</v>
      </c>
      <c r="O88" s="9"/>
      <c r="P88" s="9"/>
      <c r="Q88" s="10" t="s">
        <v>1541</v>
      </c>
    </row>
    <row r="89" spans="1:17" s="11" customFormat="1" ht="39.950000000000003" customHeight="1" x14ac:dyDescent="0.3">
      <c r="A89" s="18" t="s">
        <v>613</v>
      </c>
      <c r="B89" s="19">
        <v>45783</v>
      </c>
      <c r="C89" s="20"/>
      <c r="D89" s="53" t="s">
        <v>2476</v>
      </c>
      <c r="E89" s="12" t="s">
        <v>2506</v>
      </c>
      <c r="F89" s="21" t="s">
        <v>2496</v>
      </c>
      <c r="G89" s="8"/>
      <c r="H89" s="8">
        <v>50</v>
      </c>
      <c r="I89" s="8"/>
      <c r="J89" s="8"/>
      <c r="K89" s="8">
        <f>+G89+H89-I89+J89</f>
        <v>50</v>
      </c>
      <c r="L89" s="8"/>
      <c r="M89" s="9">
        <v>1622.5</v>
      </c>
      <c r="N89" s="9">
        <f>+K89*M89</f>
        <v>81125</v>
      </c>
      <c r="O89" s="9"/>
      <c r="P89" s="9"/>
      <c r="Q89" s="10" t="s">
        <v>25</v>
      </c>
    </row>
    <row r="90" spans="1:17" s="11" customFormat="1" ht="39.950000000000003" customHeight="1" x14ac:dyDescent="0.3">
      <c r="A90" s="18" t="s">
        <v>614</v>
      </c>
      <c r="B90" s="23">
        <v>45722</v>
      </c>
      <c r="C90" s="8"/>
      <c r="D90" s="25" t="s">
        <v>2320</v>
      </c>
      <c r="E90" s="12" t="s">
        <v>1995</v>
      </c>
      <c r="F90" s="18" t="s">
        <v>1779</v>
      </c>
      <c r="G90" s="8"/>
      <c r="H90" s="8">
        <v>2</v>
      </c>
      <c r="I90" s="8">
        <v>1</v>
      </c>
      <c r="J90" s="8"/>
      <c r="K90" s="8">
        <f>+G90+H90-I90+J90</f>
        <v>1</v>
      </c>
      <c r="L90" s="8"/>
      <c r="M90" s="9">
        <v>4390.3500000000004</v>
      </c>
      <c r="N90" s="9">
        <f>+K90*M90</f>
        <v>4390.3500000000004</v>
      </c>
      <c r="O90" s="9"/>
      <c r="P90" s="9"/>
      <c r="Q90" s="10" t="s">
        <v>1996</v>
      </c>
    </row>
    <row r="91" spans="1:17" s="11" customFormat="1" ht="39.950000000000003" customHeight="1" x14ac:dyDescent="0.3">
      <c r="A91" s="18" t="s">
        <v>615</v>
      </c>
      <c r="B91" s="19">
        <v>45783</v>
      </c>
      <c r="C91" s="20"/>
      <c r="D91" s="12" t="s">
        <v>2468</v>
      </c>
      <c r="E91" s="12" t="s">
        <v>2475</v>
      </c>
      <c r="F91" s="18" t="s">
        <v>1779</v>
      </c>
      <c r="G91" s="8"/>
      <c r="H91" s="8">
        <v>100</v>
      </c>
      <c r="I91" s="8">
        <v>25</v>
      </c>
      <c r="J91" s="8"/>
      <c r="K91" s="8">
        <f>+G91+H91-I91+J91</f>
        <v>75</v>
      </c>
      <c r="L91" s="8"/>
      <c r="M91" s="9">
        <v>2600</v>
      </c>
      <c r="N91" s="9"/>
      <c r="O91" s="9"/>
      <c r="P91" s="9"/>
      <c r="Q91" s="10" t="s">
        <v>1321</v>
      </c>
    </row>
    <row r="92" spans="1:17" s="11" customFormat="1" ht="40.5" x14ac:dyDescent="0.3">
      <c r="A92" s="18" t="s">
        <v>616</v>
      </c>
      <c r="B92" s="23" t="s">
        <v>1723</v>
      </c>
      <c r="C92" s="8">
        <v>10</v>
      </c>
      <c r="D92" s="25" t="s">
        <v>2389</v>
      </c>
      <c r="E92" s="12" t="s">
        <v>1730</v>
      </c>
      <c r="F92" s="18" t="s">
        <v>1777</v>
      </c>
      <c r="G92" s="8"/>
      <c r="H92" s="8">
        <v>3</v>
      </c>
      <c r="I92" s="8">
        <f>1+1+1</f>
        <v>3</v>
      </c>
      <c r="J92" s="8"/>
      <c r="K92" s="8">
        <f>+G92+H92+-I92</f>
        <v>0</v>
      </c>
      <c r="L92" s="8"/>
      <c r="M92" s="9">
        <v>5608</v>
      </c>
      <c r="N92" s="9">
        <f t="shared" ref="N92:N105" si="7">+K92*M92</f>
        <v>0</v>
      </c>
      <c r="O92" s="9"/>
      <c r="P92" s="9"/>
      <c r="Q92" s="10" t="s">
        <v>2114</v>
      </c>
    </row>
    <row r="93" spans="1:17" s="11" customFormat="1" ht="40.5" x14ac:dyDescent="0.3">
      <c r="A93" s="18" t="s">
        <v>617</v>
      </c>
      <c r="B93" s="23">
        <v>45761</v>
      </c>
      <c r="C93" s="8">
        <v>10</v>
      </c>
      <c r="D93" s="25" t="s">
        <v>2389</v>
      </c>
      <c r="E93" s="12" t="s">
        <v>2057</v>
      </c>
      <c r="F93" s="18" t="s">
        <v>1779</v>
      </c>
      <c r="G93" s="8">
        <f>69-1-1-1-1-1-1-1-2</f>
        <v>60</v>
      </c>
      <c r="H93" s="8">
        <v>60</v>
      </c>
      <c r="I93" s="8">
        <f>66+1+1+2+1+2+1+1+1+2+1+1+1+1+2+1+1+1+2+2</f>
        <v>91</v>
      </c>
      <c r="J93" s="8"/>
      <c r="K93" s="8">
        <f>+G93+H93-I93</f>
        <v>29</v>
      </c>
      <c r="L93" s="8"/>
      <c r="M93" s="9">
        <v>239.54</v>
      </c>
      <c r="N93" s="9">
        <f t="shared" si="7"/>
        <v>6946.66</v>
      </c>
      <c r="O93" s="9"/>
      <c r="P93" s="9"/>
      <c r="Q93" s="10" t="s">
        <v>2114</v>
      </c>
    </row>
    <row r="94" spans="1:17" s="11" customFormat="1" ht="40.5" x14ac:dyDescent="0.3">
      <c r="A94" s="18" t="s">
        <v>618</v>
      </c>
      <c r="B94" s="23">
        <v>45499</v>
      </c>
      <c r="C94" s="8">
        <v>10</v>
      </c>
      <c r="D94" s="25" t="s">
        <v>2385</v>
      </c>
      <c r="E94" s="12" t="s">
        <v>298</v>
      </c>
      <c r="F94" s="18" t="s">
        <v>1779</v>
      </c>
      <c r="G94" s="8">
        <v>45</v>
      </c>
      <c r="H94" s="8"/>
      <c r="I94" s="8">
        <f>1+1+1+1+1+1+1+1</f>
        <v>8</v>
      </c>
      <c r="J94" s="8"/>
      <c r="K94" s="8">
        <f>+G94+H94+-I94</f>
        <v>37</v>
      </c>
      <c r="L94" s="8"/>
      <c r="M94" s="9">
        <v>28.91</v>
      </c>
      <c r="N94" s="9">
        <f t="shared" si="7"/>
        <v>1069.67</v>
      </c>
      <c r="O94" s="9"/>
      <c r="P94" s="9"/>
      <c r="Q94" s="10" t="s">
        <v>297</v>
      </c>
    </row>
    <row r="95" spans="1:17" s="11" customFormat="1" ht="20.25" x14ac:dyDescent="0.3">
      <c r="A95" s="18" t="s">
        <v>619</v>
      </c>
      <c r="B95" s="23">
        <v>45499</v>
      </c>
      <c r="C95" s="8">
        <v>10</v>
      </c>
      <c r="D95" s="25" t="s">
        <v>2385</v>
      </c>
      <c r="E95" s="12" t="s">
        <v>300</v>
      </c>
      <c r="F95" s="18" t="s">
        <v>1779</v>
      </c>
      <c r="G95" s="8">
        <v>39</v>
      </c>
      <c r="H95" s="8"/>
      <c r="I95" s="8">
        <v>5</v>
      </c>
      <c r="J95" s="8"/>
      <c r="K95" s="8">
        <f>+G95+H95+-I95</f>
        <v>34</v>
      </c>
      <c r="L95" s="8"/>
      <c r="M95" s="9">
        <v>26</v>
      </c>
      <c r="N95" s="9">
        <f t="shared" si="7"/>
        <v>884</v>
      </c>
      <c r="O95" s="9"/>
      <c r="P95" s="9"/>
      <c r="Q95" s="10" t="s">
        <v>297</v>
      </c>
    </row>
    <row r="96" spans="1:17" s="11" customFormat="1" ht="20.25" x14ac:dyDescent="0.3">
      <c r="A96" s="18" t="s">
        <v>620</v>
      </c>
      <c r="B96" s="23">
        <v>45499</v>
      </c>
      <c r="C96" s="8"/>
      <c r="D96" s="25"/>
      <c r="E96" s="12" t="s">
        <v>430</v>
      </c>
      <c r="F96" s="18" t="s">
        <v>1779</v>
      </c>
      <c r="G96" s="8">
        <v>5</v>
      </c>
      <c r="H96" s="8"/>
      <c r="I96" s="8"/>
      <c r="J96" s="8"/>
      <c r="K96" s="8">
        <f>+G96+H96+-I96</f>
        <v>5</v>
      </c>
      <c r="L96" s="8"/>
      <c r="M96" s="9">
        <v>545</v>
      </c>
      <c r="N96" s="9">
        <f t="shared" si="7"/>
        <v>2725</v>
      </c>
      <c r="O96" s="9"/>
      <c r="P96" s="9"/>
      <c r="Q96" s="10" t="s">
        <v>431</v>
      </c>
    </row>
    <row r="97" spans="1:17" s="11" customFormat="1" ht="20.25" x14ac:dyDescent="0.3">
      <c r="A97" s="18" t="s">
        <v>621</v>
      </c>
      <c r="B97" s="23"/>
      <c r="C97" s="8"/>
      <c r="D97" s="25" t="s">
        <v>2385</v>
      </c>
      <c r="E97" s="12" t="s">
        <v>301</v>
      </c>
      <c r="F97" s="18" t="s">
        <v>1779</v>
      </c>
      <c r="G97" s="8">
        <v>26</v>
      </c>
      <c r="H97" s="8"/>
      <c r="I97" s="8"/>
      <c r="J97" s="8"/>
      <c r="K97" s="8">
        <f>+G97+H97+-I97</f>
        <v>26</v>
      </c>
      <c r="L97" s="8"/>
      <c r="M97" s="9">
        <v>26</v>
      </c>
      <c r="N97" s="9">
        <f t="shared" si="7"/>
        <v>676</v>
      </c>
      <c r="O97" s="9"/>
      <c r="P97" s="9"/>
      <c r="Q97" s="10" t="s">
        <v>297</v>
      </c>
    </row>
    <row r="98" spans="1:17" s="11" customFormat="1" ht="20.25" x14ac:dyDescent="0.3">
      <c r="A98" s="18" t="s">
        <v>622</v>
      </c>
      <c r="B98" s="23"/>
      <c r="C98" s="8"/>
      <c r="D98" s="25" t="s">
        <v>2326</v>
      </c>
      <c r="E98" s="12" t="s">
        <v>136</v>
      </c>
      <c r="F98" s="18" t="s">
        <v>1779</v>
      </c>
      <c r="G98" s="8">
        <v>4</v>
      </c>
      <c r="H98" s="8"/>
      <c r="I98" s="8">
        <v>1</v>
      </c>
      <c r="J98" s="8"/>
      <c r="K98" s="8">
        <f>+G98+H98-I98</f>
        <v>3</v>
      </c>
      <c r="L98" s="8">
        <v>3</v>
      </c>
      <c r="M98" s="9">
        <v>678</v>
      </c>
      <c r="N98" s="9">
        <f t="shared" si="7"/>
        <v>2034</v>
      </c>
      <c r="O98" s="9"/>
      <c r="P98" s="9"/>
      <c r="Q98" s="10" t="s">
        <v>1191</v>
      </c>
    </row>
    <row r="99" spans="1:17" s="11" customFormat="1" ht="20.25" x14ac:dyDescent="0.3">
      <c r="A99" s="18" t="s">
        <v>623</v>
      </c>
      <c r="B99" s="23"/>
      <c r="C99" s="8"/>
      <c r="D99" s="53" t="s">
        <v>2394</v>
      </c>
      <c r="E99" s="12" t="s">
        <v>32</v>
      </c>
      <c r="F99" s="18" t="s">
        <v>1779</v>
      </c>
      <c r="G99" s="8">
        <v>2</v>
      </c>
      <c r="H99" s="8">
        <v>0</v>
      </c>
      <c r="I99" s="8"/>
      <c r="J99" s="8"/>
      <c r="K99" s="8">
        <f>+G99+H99-I99</f>
        <v>2</v>
      </c>
      <c r="L99" s="8"/>
      <c r="M99" s="9">
        <v>2600</v>
      </c>
      <c r="N99" s="9">
        <f t="shared" si="7"/>
        <v>5200</v>
      </c>
      <c r="O99" s="9"/>
      <c r="P99" s="9"/>
      <c r="Q99" s="10" t="s">
        <v>25</v>
      </c>
    </row>
    <row r="100" spans="1:17" s="11" customFormat="1" ht="20.25" x14ac:dyDescent="0.3">
      <c r="A100" s="18" t="s">
        <v>624</v>
      </c>
      <c r="B100" s="23"/>
      <c r="C100" s="8"/>
      <c r="D100" s="53" t="s">
        <v>2394</v>
      </c>
      <c r="E100" s="12" t="s">
        <v>33</v>
      </c>
      <c r="F100" s="18" t="s">
        <v>1779</v>
      </c>
      <c r="G100" s="8">
        <v>11</v>
      </c>
      <c r="H100" s="8"/>
      <c r="I100" s="8"/>
      <c r="J100" s="8"/>
      <c r="K100" s="8">
        <f>+G100+H100-I100</f>
        <v>11</v>
      </c>
      <c r="L100" s="8"/>
      <c r="M100" s="9">
        <v>84</v>
      </c>
      <c r="N100" s="9">
        <f t="shared" si="7"/>
        <v>924</v>
      </c>
      <c r="O100" s="9"/>
      <c r="P100" s="9"/>
      <c r="Q100" s="10" t="s">
        <v>25</v>
      </c>
    </row>
    <row r="101" spans="1:17" s="11" customFormat="1" ht="39.950000000000003" customHeight="1" x14ac:dyDescent="0.3">
      <c r="A101" s="18" t="s">
        <v>625</v>
      </c>
      <c r="B101" s="23">
        <v>44193</v>
      </c>
      <c r="C101" s="8"/>
      <c r="D101" s="25" t="s">
        <v>2442</v>
      </c>
      <c r="E101" s="12" t="s">
        <v>522</v>
      </c>
      <c r="F101" s="18" t="s">
        <v>1779</v>
      </c>
      <c r="G101" s="8">
        <v>1</v>
      </c>
      <c r="H101" s="8"/>
      <c r="I101" s="8"/>
      <c r="J101" s="8"/>
      <c r="K101" s="8">
        <f>+G101+H101+-I101</f>
        <v>1</v>
      </c>
      <c r="L101" s="8"/>
      <c r="M101" s="9">
        <v>850</v>
      </c>
      <c r="N101" s="9">
        <f t="shared" si="7"/>
        <v>850</v>
      </c>
      <c r="O101" s="9"/>
      <c r="P101" s="9"/>
      <c r="Q101" s="10" t="s">
        <v>520</v>
      </c>
    </row>
    <row r="102" spans="1:17" s="11" customFormat="1" ht="39.950000000000003" customHeight="1" x14ac:dyDescent="0.3">
      <c r="A102" s="18" t="s">
        <v>626</v>
      </c>
      <c r="B102" s="23">
        <v>45518</v>
      </c>
      <c r="C102" s="8"/>
      <c r="D102" s="25" t="s">
        <v>2442</v>
      </c>
      <c r="E102" s="12" t="s">
        <v>519</v>
      </c>
      <c r="F102" s="18" t="s">
        <v>1779</v>
      </c>
      <c r="G102" s="8">
        <v>1</v>
      </c>
      <c r="H102" s="8"/>
      <c r="I102" s="8"/>
      <c r="J102" s="8"/>
      <c r="K102" s="8">
        <f>+G102+H102+-I102</f>
        <v>1</v>
      </c>
      <c r="L102" s="8"/>
      <c r="M102" s="9">
        <v>850</v>
      </c>
      <c r="N102" s="9">
        <f t="shared" si="7"/>
        <v>850</v>
      </c>
      <c r="O102" s="9"/>
      <c r="P102" s="9"/>
      <c r="Q102" s="10" t="s">
        <v>520</v>
      </c>
    </row>
    <row r="103" spans="1:17" s="11" customFormat="1" ht="39.950000000000003" customHeight="1" x14ac:dyDescent="0.3">
      <c r="A103" s="18" t="s">
        <v>627</v>
      </c>
      <c r="B103" s="23">
        <v>45518</v>
      </c>
      <c r="C103" s="8"/>
      <c r="D103" s="25" t="s">
        <v>2442</v>
      </c>
      <c r="E103" s="12" t="s">
        <v>521</v>
      </c>
      <c r="F103" s="18" t="s">
        <v>1779</v>
      </c>
      <c r="G103" s="8">
        <v>1</v>
      </c>
      <c r="H103" s="8"/>
      <c r="I103" s="8"/>
      <c r="J103" s="8"/>
      <c r="K103" s="8">
        <f>+G103+H103+-I103</f>
        <v>1</v>
      </c>
      <c r="L103" s="8"/>
      <c r="M103" s="9">
        <v>850</v>
      </c>
      <c r="N103" s="9">
        <f t="shared" si="7"/>
        <v>850</v>
      </c>
      <c r="O103" s="9"/>
      <c r="P103" s="9"/>
      <c r="Q103" s="10" t="s">
        <v>520</v>
      </c>
    </row>
    <row r="104" spans="1:17" s="11" customFormat="1" ht="39.950000000000003" customHeight="1" x14ac:dyDescent="0.3">
      <c r="A104" s="18" t="s">
        <v>628</v>
      </c>
      <c r="B104" s="23">
        <v>44193</v>
      </c>
      <c r="C104" s="8"/>
      <c r="D104" s="25" t="s">
        <v>2442</v>
      </c>
      <c r="E104" s="12" t="s">
        <v>523</v>
      </c>
      <c r="F104" s="18" t="s">
        <v>1779</v>
      </c>
      <c r="G104" s="8">
        <v>1</v>
      </c>
      <c r="H104" s="8"/>
      <c r="I104" s="8"/>
      <c r="J104" s="8"/>
      <c r="K104" s="8">
        <f>+G104+H104+-I104</f>
        <v>1</v>
      </c>
      <c r="L104" s="8"/>
      <c r="M104" s="9">
        <v>850</v>
      </c>
      <c r="N104" s="9">
        <f t="shared" si="7"/>
        <v>850</v>
      </c>
      <c r="O104" s="9"/>
      <c r="P104" s="9"/>
      <c r="Q104" s="10" t="s">
        <v>520</v>
      </c>
    </row>
    <row r="105" spans="1:17" s="11" customFormat="1" ht="39.950000000000003" customHeight="1" x14ac:dyDescent="0.3">
      <c r="A105" s="18" t="s">
        <v>629</v>
      </c>
      <c r="B105" s="23"/>
      <c r="C105" s="8"/>
      <c r="D105" s="25" t="s">
        <v>2442</v>
      </c>
      <c r="E105" s="12" t="s">
        <v>139</v>
      </c>
      <c r="F105" s="18" t="s">
        <v>1779</v>
      </c>
      <c r="G105" s="8">
        <v>10</v>
      </c>
      <c r="H105" s="8"/>
      <c r="I105" s="8">
        <f>1+5</f>
        <v>6</v>
      </c>
      <c r="J105" s="8"/>
      <c r="K105" s="8">
        <f>+G105+H105-I105</f>
        <v>4</v>
      </c>
      <c r="L105" s="8"/>
      <c r="M105" s="9">
        <v>95</v>
      </c>
      <c r="N105" s="9">
        <f t="shared" si="7"/>
        <v>380</v>
      </c>
      <c r="O105" s="9"/>
      <c r="P105" s="9"/>
      <c r="Q105" s="10" t="s">
        <v>140</v>
      </c>
    </row>
    <row r="106" spans="1:17" s="11" customFormat="1" ht="39.950000000000003" customHeight="1" x14ac:dyDescent="0.3">
      <c r="A106" s="18" t="s">
        <v>630</v>
      </c>
      <c r="B106" s="23" t="s">
        <v>1581</v>
      </c>
      <c r="C106" s="8">
        <v>10</v>
      </c>
      <c r="D106" s="25" t="s">
        <v>2442</v>
      </c>
      <c r="E106" s="12" t="s">
        <v>1705</v>
      </c>
      <c r="F106" s="18" t="s">
        <v>1779</v>
      </c>
      <c r="G106" s="8"/>
      <c r="H106" s="8">
        <v>200</v>
      </c>
      <c r="I106" s="8"/>
      <c r="J106" s="8">
        <v>0</v>
      </c>
      <c r="K106" s="8">
        <f>+G106+H106-I106+J106</f>
        <v>200</v>
      </c>
      <c r="L106" s="8"/>
      <c r="M106" s="9">
        <v>106.2</v>
      </c>
      <c r="N106" s="9">
        <f>+L106*M106</f>
        <v>0</v>
      </c>
      <c r="O106" s="9"/>
      <c r="P106" s="9"/>
      <c r="Q106" s="10" t="s">
        <v>520</v>
      </c>
    </row>
    <row r="107" spans="1:17" s="11" customFormat="1" ht="39.950000000000003" customHeight="1" x14ac:dyDescent="0.3">
      <c r="A107" s="18" t="s">
        <v>631</v>
      </c>
      <c r="B107" s="23" t="s">
        <v>1581</v>
      </c>
      <c r="C107" s="8">
        <v>10</v>
      </c>
      <c r="D107" s="25" t="s">
        <v>2442</v>
      </c>
      <c r="E107" s="12" t="s">
        <v>1706</v>
      </c>
      <c r="F107" s="18" t="s">
        <v>1779</v>
      </c>
      <c r="G107" s="8"/>
      <c r="H107" s="8">
        <v>50</v>
      </c>
      <c r="I107" s="8"/>
      <c r="J107" s="8">
        <v>0</v>
      </c>
      <c r="K107" s="8">
        <f>+G107+H107-I107+J107</f>
        <v>50</v>
      </c>
      <c r="L107" s="8"/>
      <c r="M107" s="9">
        <v>188.8</v>
      </c>
      <c r="N107" s="9">
        <f>+L107*M107</f>
        <v>0</v>
      </c>
      <c r="O107" s="9"/>
      <c r="P107" s="9"/>
      <c r="Q107" s="10" t="s">
        <v>520</v>
      </c>
    </row>
    <row r="108" spans="1:17" s="11" customFormat="1" ht="39.950000000000003" customHeight="1" x14ac:dyDescent="0.3">
      <c r="A108" s="18" t="s">
        <v>632</v>
      </c>
      <c r="B108" s="19">
        <v>45813</v>
      </c>
      <c r="C108" s="20">
        <v>10</v>
      </c>
      <c r="D108" s="53" t="s">
        <v>2394</v>
      </c>
      <c r="E108" s="12" t="s">
        <v>2240</v>
      </c>
      <c r="F108" s="18" t="s">
        <v>1779</v>
      </c>
      <c r="G108" s="8"/>
      <c r="H108" s="8">
        <v>2</v>
      </c>
      <c r="I108" s="8">
        <v>2</v>
      </c>
      <c r="J108" s="8"/>
      <c r="K108" s="8">
        <f>+G108+H108-I108+J108</f>
        <v>0</v>
      </c>
      <c r="L108" s="8"/>
      <c r="M108" s="9">
        <v>126</v>
      </c>
      <c r="N108" s="9"/>
      <c r="O108" s="9"/>
      <c r="P108" s="9"/>
      <c r="Q108" s="10" t="s">
        <v>25</v>
      </c>
    </row>
    <row r="109" spans="1:17" s="11" customFormat="1" ht="39.950000000000003" customHeight="1" x14ac:dyDescent="0.3">
      <c r="A109" s="18" t="s">
        <v>633</v>
      </c>
      <c r="B109" s="23"/>
      <c r="C109" s="8"/>
      <c r="D109" s="53" t="s">
        <v>2394</v>
      </c>
      <c r="E109" s="12" t="s">
        <v>1564</v>
      </c>
      <c r="F109" s="18" t="s">
        <v>1779</v>
      </c>
      <c r="G109" s="8">
        <v>22</v>
      </c>
      <c r="H109" s="8"/>
      <c r="I109" s="8"/>
      <c r="J109" s="8"/>
      <c r="K109" s="8">
        <f t="shared" ref="K109:K114" si="8">+G109+H109+-I109</f>
        <v>22</v>
      </c>
      <c r="L109" s="8"/>
      <c r="M109" s="9">
        <v>27</v>
      </c>
      <c r="N109" s="9">
        <f t="shared" ref="N109:N116" si="9">+K109*M109</f>
        <v>594</v>
      </c>
      <c r="O109" s="9"/>
      <c r="P109" s="9"/>
      <c r="Q109" s="10" t="s">
        <v>25</v>
      </c>
    </row>
    <row r="110" spans="1:17" s="11" customFormat="1" ht="39.950000000000003" customHeight="1" x14ac:dyDescent="0.3">
      <c r="A110" s="18" t="s">
        <v>634</v>
      </c>
      <c r="B110" s="23">
        <v>44193</v>
      </c>
      <c r="C110" s="8"/>
      <c r="D110" s="25" t="s">
        <v>2385</v>
      </c>
      <c r="E110" s="12" t="s">
        <v>303</v>
      </c>
      <c r="F110" s="18" t="s">
        <v>1779</v>
      </c>
      <c r="G110" s="8">
        <v>8</v>
      </c>
      <c r="H110" s="8"/>
      <c r="I110" s="8">
        <v>1</v>
      </c>
      <c r="J110" s="8"/>
      <c r="K110" s="8">
        <f t="shared" si="8"/>
        <v>7</v>
      </c>
      <c r="L110" s="8"/>
      <c r="M110" s="9">
        <v>155</v>
      </c>
      <c r="N110" s="9">
        <f t="shared" si="9"/>
        <v>1085</v>
      </c>
      <c r="O110" s="9"/>
      <c r="P110" s="9"/>
      <c r="Q110" s="10" t="s">
        <v>297</v>
      </c>
    </row>
    <row r="111" spans="1:17" s="11" customFormat="1" ht="39.950000000000003" customHeight="1" x14ac:dyDescent="0.3">
      <c r="A111" s="18" t="s">
        <v>635</v>
      </c>
      <c r="B111" s="23"/>
      <c r="C111" s="8"/>
      <c r="D111" s="25" t="s">
        <v>2385</v>
      </c>
      <c r="E111" s="12" t="s">
        <v>304</v>
      </c>
      <c r="F111" s="18" t="s">
        <v>1779</v>
      </c>
      <c r="G111" s="8">
        <v>48</v>
      </c>
      <c r="H111" s="8"/>
      <c r="I111" s="8">
        <f>5+2+4</f>
        <v>11</v>
      </c>
      <c r="J111" s="8"/>
      <c r="K111" s="8">
        <f t="shared" si="8"/>
        <v>37</v>
      </c>
      <c r="L111" s="8"/>
      <c r="M111" s="9">
        <v>38</v>
      </c>
      <c r="N111" s="9">
        <f t="shared" si="9"/>
        <v>1406</v>
      </c>
      <c r="O111" s="9"/>
      <c r="P111" s="9"/>
      <c r="Q111" s="10" t="s">
        <v>297</v>
      </c>
    </row>
    <row r="112" spans="1:17" s="11" customFormat="1" ht="39.950000000000003" customHeight="1" x14ac:dyDescent="0.3">
      <c r="A112" s="18" t="s">
        <v>636</v>
      </c>
      <c r="B112" s="23" t="s">
        <v>4</v>
      </c>
      <c r="C112" s="8"/>
      <c r="D112" s="25" t="s">
        <v>2385</v>
      </c>
      <c r="E112" s="12" t="s">
        <v>305</v>
      </c>
      <c r="F112" s="18" t="s">
        <v>1779</v>
      </c>
      <c r="G112" s="8">
        <v>46</v>
      </c>
      <c r="H112" s="8"/>
      <c r="I112" s="8">
        <f>3+2</f>
        <v>5</v>
      </c>
      <c r="J112" s="8"/>
      <c r="K112" s="8">
        <f t="shared" si="8"/>
        <v>41</v>
      </c>
      <c r="L112" s="8"/>
      <c r="M112" s="9">
        <v>65</v>
      </c>
      <c r="N112" s="9">
        <f t="shared" si="9"/>
        <v>2665</v>
      </c>
      <c r="O112" s="9"/>
      <c r="P112" s="9"/>
      <c r="Q112" s="10" t="s">
        <v>297</v>
      </c>
    </row>
    <row r="113" spans="1:17" s="11" customFormat="1" ht="39.950000000000003" customHeight="1" x14ac:dyDescent="0.3">
      <c r="A113" s="18" t="s">
        <v>637</v>
      </c>
      <c r="B113" s="23"/>
      <c r="C113" s="8"/>
      <c r="D113" s="25" t="s">
        <v>2385</v>
      </c>
      <c r="E113" s="12" t="s">
        <v>306</v>
      </c>
      <c r="F113" s="18" t="s">
        <v>1779</v>
      </c>
      <c r="G113" s="8">
        <f>36+9</f>
        <v>45</v>
      </c>
      <c r="H113" s="8"/>
      <c r="I113" s="8">
        <f>5+1+2</f>
        <v>8</v>
      </c>
      <c r="J113" s="8"/>
      <c r="K113" s="8">
        <f t="shared" si="8"/>
        <v>37</v>
      </c>
      <c r="L113" s="8"/>
      <c r="M113" s="9">
        <v>65</v>
      </c>
      <c r="N113" s="9">
        <f t="shared" si="9"/>
        <v>2405</v>
      </c>
      <c r="O113" s="9"/>
      <c r="P113" s="9"/>
      <c r="Q113" s="10" t="s">
        <v>297</v>
      </c>
    </row>
    <row r="114" spans="1:17" s="11" customFormat="1" ht="39.950000000000003" customHeight="1" x14ac:dyDescent="0.3">
      <c r="A114" s="18" t="s">
        <v>638</v>
      </c>
      <c r="B114" s="23"/>
      <c r="C114" s="8"/>
      <c r="D114" s="25" t="s">
        <v>2319</v>
      </c>
      <c r="E114" s="12" t="s">
        <v>2451</v>
      </c>
      <c r="F114" s="18" t="s">
        <v>1779</v>
      </c>
      <c r="G114" s="8">
        <f>6+18+3+1</f>
        <v>28</v>
      </c>
      <c r="H114" s="8"/>
      <c r="I114" s="8"/>
      <c r="J114" s="8"/>
      <c r="K114" s="8">
        <f t="shared" si="8"/>
        <v>28</v>
      </c>
      <c r="L114" s="8"/>
      <c r="M114" s="9">
        <v>50</v>
      </c>
      <c r="N114" s="9">
        <f t="shared" si="9"/>
        <v>1400</v>
      </c>
      <c r="O114" s="9"/>
      <c r="P114" s="9"/>
      <c r="Q114" s="10" t="s">
        <v>159</v>
      </c>
    </row>
    <row r="115" spans="1:17" s="11" customFormat="1" ht="39.950000000000003" customHeight="1" x14ac:dyDescent="0.3">
      <c r="A115" s="18" t="s">
        <v>639</v>
      </c>
      <c r="B115" s="19">
        <v>45783</v>
      </c>
      <c r="C115" s="20"/>
      <c r="D115" s="53" t="s">
        <v>2319</v>
      </c>
      <c r="E115" s="12" t="s">
        <v>2419</v>
      </c>
      <c r="F115" s="18" t="s">
        <v>1779</v>
      </c>
      <c r="G115" s="8"/>
      <c r="H115" s="8">
        <v>50</v>
      </c>
      <c r="I115" s="8"/>
      <c r="J115" s="8"/>
      <c r="K115" s="8">
        <f>+G115+H115-I115+J115</f>
        <v>50</v>
      </c>
      <c r="L115" s="8"/>
      <c r="M115" s="9">
        <v>174.64</v>
      </c>
      <c r="N115" s="9">
        <f t="shared" si="9"/>
        <v>8732</v>
      </c>
      <c r="O115" s="9"/>
      <c r="P115" s="9"/>
      <c r="Q115" s="10" t="s">
        <v>159</v>
      </c>
    </row>
    <row r="116" spans="1:17" s="11" customFormat="1" ht="39.950000000000003" customHeight="1" x14ac:dyDescent="0.3">
      <c r="A116" s="18" t="s">
        <v>640</v>
      </c>
      <c r="B116" s="19">
        <v>45783</v>
      </c>
      <c r="C116" s="20"/>
      <c r="D116" s="53" t="s">
        <v>2319</v>
      </c>
      <c r="E116" s="12" t="s">
        <v>2420</v>
      </c>
      <c r="F116" s="18" t="s">
        <v>1779</v>
      </c>
      <c r="G116" s="8"/>
      <c r="H116" s="8">
        <v>50</v>
      </c>
      <c r="I116" s="8"/>
      <c r="J116" s="8"/>
      <c r="K116" s="8">
        <f>+G116+H116-I116+J116</f>
        <v>50</v>
      </c>
      <c r="L116" s="8"/>
      <c r="M116" s="9">
        <v>174.64</v>
      </c>
      <c r="N116" s="9">
        <f t="shared" si="9"/>
        <v>8732</v>
      </c>
      <c r="O116" s="9"/>
      <c r="P116" s="9"/>
      <c r="Q116" s="10" t="s">
        <v>159</v>
      </c>
    </row>
    <row r="117" spans="1:17" s="11" customFormat="1" ht="39.950000000000003" customHeight="1" x14ac:dyDescent="0.3">
      <c r="A117" s="18" t="s">
        <v>641</v>
      </c>
      <c r="B117" s="23"/>
      <c r="C117" s="8"/>
      <c r="D117" s="25"/>
      <c r="E117" s="12" t="s">
        <v>1662</v>
      </c>
      <c r="F117" s="18" t="s">
        <v>1779</v>
      </c>
      <c r="G117" s="8">
        <v>500</v>
      </c>
      <c r="H117" s="8"/>
      <c r="I117" s="8"/>
      <c r="J117" s="8">
        <v>0</v>
      </c>
      <c r="K117" s="8">
        <f>+G117+H117-I117+J117</f>
        <v>500</v>
      </c>
      <c r="L117" s="8"/>
      <c r="M117" s="9">
        <v>69</v>
      </c>
      <c r="N117" s="9">
        <f>+L117*M117</f>
        <v>0</v>
      </c>
      <c r="O117" s="9"/>
      <c r="P117" s="9"/>
      <c r="Q117" s="10" t="s">
        <v>1887</v>
      </c>
    </row>
    <row r="118" spans="1:17" s="11" customFormat="1" ht="39.950000000000003" customHeight="1" x14ac:dyDescent="0.3">
      <c r="A118" s="18" t="s">
        <v>642</v>
      </c>
      <c r="B118" s="23">
        <v>45417</v>
      </c>
      <c r="C118" s="8"/>
      <c r="D118" s="25" t="s">
        <v>2327</v>
      </c>
      <c r="E118" s="12" t="s">
        <v>1377</v>
      </c>
      <c r="F118" s="18" t="s">
        <v>1779</v>
      </c>
      <c r="G118" s="8">
        <v>23</v>
      </c>
      <c r="H118" s="8"/>
      <c r="I118" s="8">
        <v>23</v>
      </c>
      <c r="J118" s="8"/>
      <c r="K118" s="8">
        <f>+G118+H118-I118</f>
        <v>0</v>
      </c>
      <c r="L118" s="8"/>
      <c r="M118" s="9">
        <v>9</v>
      </c>
      <c r="N118" s="9">
        <f t="shared" ref="N118:N129" si="10">+K118*M118</f>
        <v>0</v>
      </c>
      <c r="O118" s="9"/>
      <c r="P118" s="9"/>
      <c r="Q118" s="10" t="s">
        <v>18</v>
      </c>
    </row>
    <row r="119" spans="1:17" s="11" customFormat="1" ht="39.950000000000003" customHeight="1" x14ac:dyDescent="0.3">
      <c r="A119" s="18" t="s">
        <v>643</v>
      </c>
      <c r="B119" s="23">
        <v>45417</v>
      </c>
      <c r="C119" s="8"/>
      <c r="D119" s="25" t="s">
        <v>2327</v>
      </c>
      <c r="E119" s="12" t="s">
        <v>1376</v>
      </c>
      <c r="F119" s="18" t="s">
        <v>1779</v>
      </c>
      <c r="G119" s="8">
        <f>21-2</f>
        <v>19</v>
      </c>
      <c r="H119" s="8"/>
      <c r="I119" s="8">
        <v>19</v>
      </c>
      <c r="J119" s="8"/>
      <c r="K119" s="8">
        <f>+G119+H119-I119</f>
        <v>0</v>
      </c>
      <c r="L119" s="8"/>
      <c r="M119" s="9">
        <v>9</v>
      </c>
      <c r="N119" s="9">
        <f t="shared" si="10"/>
        <v>0</v>
      </c>
      <c r="O119" s="9"/>
      <c r="P119" s="9"/>
      <c r="Q119" s="10" t="s">
        <v>18</v>
      </c>
    </row>
    <row r="120" spans="1:17" s="11" customFormat="1" ht="39.950000000000003" customHeight="1" x14ac:dyDescent="0.3">
      <c r="A120" s="18" t="s">
        <v>644</v>
      </c>
      <c r="B120" s="23">
        <v>45417</v>
      </c>
      <c r="C120" s="8"/>
      <c r="D120" s="25" t="s">
        <v>2327</v>
      </c>
      <c r="E120" s="12" t="s">
        <v>1376</v>
      </c>
      <c r="F120" s="18" t="s">
        <v>1779</v>
      </c>
      <c r="G120" s="8">
        <v>2</v>
      </c>
      <c r="H120" s="8"/>
      <c r="I120" s="8">
        <v>2</v>
      </c>
      <c r="J120" s="8"/>
      <c r="K120" s="8">
        <f>+G120+H120-I120+J120</f>
        <v>0</v>
      </c>
      <c r="L120" s="8"/>
      <c r="M120" s="9">
        <v>536.9</v>
      </c>
      <c r="N120" s="9">
        <f t="shared" si="10"/>
        <v>0</v>
      </c>
      <c r="O120" s="9"/>
      <c r="P120" s="9"/>
      <c r="Q120" s="10" t="s">
        <v>1541</v>
      </c>
    </row>
    <row r="121" spans="1:17" s="11" customFormat="1" ht="39.950000000000003" customHeight="1" x14ac:dyDescent="0.3">
      <c r="A121" s="18" t="s">
        <v>645</v>
      </c>
      <c r="B121" s="23">
        <v>45417</v>
      </c>
      <c r="C121" s="8"/>
      <c r="D121" s="25" t="s">
        <v>2327</v>
      </c>
      <c r="E121" s="12" t="s">
        <v>1389</v>
      </c>
      <c r="F121" s="18" t="s">
        <v>1779</v>
      </c>
      <c r="G121" s="8">
        <v>4</v>
      </c>
      <c r="H121" s="8"/>
      <c r="I121" s="8">
        <v>4</v>
      </c>
      <c r="J121" s="8"/>
      <c r="K121" s="8">
        <f>+G121+H121-I121+J121</f>
        <v>0</v>
      </c>
      <c r="L121" s="8"/>
      <c r="M121" s="9">
        <v>536.9</v>
      </c>
      <c r="N121" s="9">
        <f t="shared" si="10"/>
        <v>0</v>
      </c>
      <c r="O121" s="9"/>
      <c r="P121" s="9"/>
      <c r="Q121" s="10" t="s">
        <v>1541</v>
      </c>
    </row>
    <row r="122" spans="1:17" s="11" customFormat="1" ht="39.950000000000003" customHeight="1" x14ac:dyDescent="0.3">
      <c r="A122" s="18" t="s">
        <v>646</v>
      </c>
      <c r="B122" s="23">
        <v>44193</v>
      </c>
      <c r="C122" s="8"/>
      <c r="D122" s="25" t="s">
        <v>2327</v>
      </c>
      <c r="E122" s="12" t="s">
        <v>1388</v>
      </c>
      <c r="F122" s="18" t="s">
        <v>1779</v>
      </c>
      <c r="G122" s="8">
        <v>4</v>
      </c>
      <c r="H122" s="8"/>
      <c r="I122" s="8">
        <v>4</v>
      </c>
      <c r="J122" s="8"/>
      <c r="K122" s="8">
        <f>+G122+H122-I122+J122</f>
        <v>0</v>
      </c>
      <c r="L122" s="8"/>
      <c r="M122" s="9">
        <v>536.9</v>
      </c>
      <c r="N122" s="9">
        <f t="shared" si="10"/>
        <v>0</v>
      </c>
      <c r="O122" s="9"/>
      <c r="P122" s="9"/>
      <c r="Q122" s="10" t="s">
        <v>1541</v>
      </c>
    </row>
    <row r="123" spans="1:17" s="11" customFormat="1" ht="39.950000000000003" customHeight="1" x14ac:dyDescent="0.3">
      <c r="A123" s="18" t="s">
        <v>647</v>
      </c>
      <c r="B123" s="23">
        <v>44193</v>
      </c>
      <c r="C123" s="8"/>
      <c r="D123" s="25" t="s">
        <v>2385</v>
      </c>
      <c r="E123" s="12" t="s">
        <v>311</v>
      </c>
      <c r="F123" s="18" t="s">
        <v>1779</v>
      </c>
      <c r="G123" s="8">
        <v>60</v>
      </c>
      <c r="H123" s="8"/>
      <c r="I123" s="8">
        <f>12+1+1+1+1+1+3+2+4+5+3+2+1+4+1+1+1+1</f>
        <v>45</v>
      </c>
      <c r="J123" s="8"/>
      <c r="K123" s="8">
        <f t="shared" ref="K123:K129" si="11">+G123+H123+-I123</f>
        <v>15</v>
      </c>
      <c r="L123" s="8"/>
      <c r="M123" s="9">
        <v>5.8</v>
      </c>
      <c r="N123" s="9">
        <f t="shared" si="10"/>
        <v>87</v>
      </c>
      <c r="O123" s="9"/>
      <c r="P123" s="9"/>
      <c r="Q123" s="10" t="s">
        <v>297</v>
      </c>
    </row>
    <row r="124" spans="1:17" s="11" customFormat="1" ht="39.950000000000003" customHeight="1" x14ac:dyDescent="0.3">
      <c r="A124" s="18" t="s">
        <v>648</v>
      </c>
      <c r="B124" s="23">
        <v>44193</v>
      </c>
      <c r="C124" s="8"/>
      <c r="D124" s="25" t="s">
        <v>2385</v>
      </c>
      <c r="E124" s="12" t="s">
        <v>307</v>
      </c>
      <c r="F124" s="18" t="s">
        <v>1779</v>
      </c>
      <c r="G124" s="8">
        <v>48</v>
      </c>
      <c r="H124" s="8"/>
      <c r="I124" s="8"/>
      <c r="J124" s="8"/>
      <c r="K124" s="8">
        <f t="shared" si="11"/>
        <v>48</v>
      </c>
      <c r="L124" s="8"/>
      <c r="M124" s="9">
        <v>69.62</v>
      </c>
      <c r="N124" s="9">
        <f t="shared" si="10"/>
        <v>3341.76</v>
      </c>
      <c r="O124" s="9"/>
      <c r="P124" s="9"/>
      <c r="Q124" s="10" t="s">
        <v>297</v>
      </c>
    </row>
    <row r="125" spans="1:17" s="11" customFormat="1" ht="39.950000000000003" customHeight="1" x14ac:dyDescent="0.3">
      <c r="A125" s="18" t="s">
        <v>649</v>
      </c>
      <c r="B125" s="23">
        <v>44193</v>
      </c>
      <c r="C125" s="8"/>
      <c r="D125" s="25" t="s">
        <v>2385</v>
      </c>
      <c r="E125" s="12" t="s">
        <v>308</v>
      </c>
      <c r="F125" s="18" t="s">
        <v>1779</v>
      </c>
      <c r="G125" s="8">
        <f>12*3</f>
        <v>36</v>
      </c>
      <c r="H125" s="8"/>
      <c r="I125" s="8">
        <f>7+1+2+1+3+2+2</f>
        <v>18</v>
      </c>
      <c r="J125" s="8"/>
      <c r="K125" s="8">
        <f t="shared" si="11"/>
        <v>18</v>
      </c>
      <c r="L125" s="8"/>
      <c r="M125" s="9">
        <v>5.8</v>
      </c>
      <c r="N125" s="9">
        <f t="shared" si="10"/>
        <v>104.39999999999999</v>
      </c>
      <c r="O125" s="9"/>
      <c r="P125" s="9"/>
      <c r="Q125" s="10" t="s">
        <v>297</v>
      </c>
    </row>
    <row r="126" spans="1:17" s="11" customFormat="1" ht="39.950000000000003" customHeight="1" x14ac:dyDescent="0.3">
      <c r="A126" s="18" t="s">
        <v>650</v>
      </c>
      <c r="B126" s="23"/>
      <c r="C126" s="8"/>
      <c r="D126" s="25" t="s">
        <v>2385</v>
      </c>
      <c r="E126" s="12" t="s">
        <v>309</v>
      </c>
      <c r="F126" s="18" t="s">
        <v>1779</v>
      </c>
      <c r="G126" s="8">
        <f>8*12</f>
        <v>96</v>
      </c>
      <c r="H126" s="8"/>
      <c r="I126" s="8">
        <f>3+3</f>
        <v>6</v>
      </c>
      <c r="J126" s="8"/>
      <c r="K126" s="8">
        <f t="shared" si="11"/>
        <v>90</v>
      </c>
      <c r="L126" s="8"/>
      <c r="M126" s="9">
        <v>5.8</v>
      </c>
      <c r="N126" s="9">
        <f t="shared" si="10"/>
        <v>522</v>
      </c>
      <c r="O126" s="9"/>
      <c r="P126" s="9"/>
      <c r="Q126" s="10" t="s">
        <v>297</v>
      </c>
    </row>
    <row r="127" spans="1:17" s="11" customFormat="1" ht="39.950000000000003" customHeight="1" x14ac:dyDescent="0.3">
      <c r="A127" s="18" t="s">
        <v>651</v>
      </c>
      <c r="B127" s="23">
        <v>45421</v>
      </c>
      <c r="C127" s="8">
        <v>10</v>
      </c>
      <c r="D127" s="25" t="s">
        <v>2385</v>
      </c>
      <c r="E127" s="12" t="s">
        <v>1717</v>
      </c>
      <c r="F127" s="18" t="s">
        <v>1779</v>
      </c>
      <c r="G127" s="8">
        <v>3</v>
      </c>
      <c r="H127" s="8"/>
      <c r="I127" s="8">
        <f>1+1</f>
        <v>2</v>
      </c>
      <c r="J127" s="8"/>
      <c r="K127" s="8">
        <f t="shared" si="11"/>
        <v>1</v>
      </c>
      <c r="L127" s="8"/>
      <c r="M127" s="9">
        <v>175</v>
      </c>
      <c r="N127" s="9">
        <f t="shared" si="10"/>
        <v>175</v>
      </c>
      <c r="O127" s="9"/>
      <c r="P127" s="9"/>
      <c r="Q127" s="10" t="s">
        <v>297</v>
      </c>
    </row>
    <row r="128" spans="1:17" s="11" customFormat="1" ht="39.950000000000003" customHeight="1" x14ac:dyDescent="0.3">
      <c r="A128" s="18" t="s">
        <v>652</v>
      </c>
      <c r="B128" s="23"/>
      <c r="C128" s="8"/>
      <c r="D128" s="25" t="s">
        <v>2385</v>
      </c>
      <c r="E128" s="12" t="s">
        <v>310</v>
      </c>
      <c r="F128" s="18" t="s">
        <v>1779</v>
      </c>
      <c r="G128" s="8">
        <f>25+8</f>
        <v>33</v>
      </c>
      <c r="H128" s="8"/>
      <c r="I128" s="8">
        <v>33</v>
      </c>
      <c r="J128" s="8"/>
      <c r="K128" s="8">
        <f t="shared" si="11"/>
        <v>0</v>
      </c>
      <c r="L128" s="8"/>
      <c r="M128" s="9">
        <v>5.8</v>
      </c>
      <c r="N128" s="9">
        <f t="shared" si="10"/>
        <v>0</v>
      </c>
      <c r="O128" s="9"/>
      <c r="P128" s="9"/>
      <c r="Q128" s="10" t="s">
        <v>297</v>
      </c>
    </row>
    <row r="129" spans="1:17" s="11" customFormat="1" ht="39.950000000000003" customHeight="1" x14ac:dyDescent="0.3">
      <c r="A129" s="18" t="s">
        <v>653</v>
      </c>
      <c r="B129" s="23">
        <v>45518</v>
      </c>
      <c r="C129" s="8"/>
      <c r="D129" s="25"/>
      <c r="E129" s="12" t="s">
        <v>164</v>
      </c>
      <c r="F129" s="18" t="s">
        <v>1779</v>
      </c>
      <c r="G129" s="8">
        <v>1</v>
      </c>
      <c r="H129" s="8"/>
      <c r="I129" s="8"/>
      <c r="J129" s="8"/>
      <c r="K129" s="8">
        <f t="shared" si="11"/>
        <v>1</v>
      </c>
      <c r="L129" s="8"/>
      <c r="M129" s="9"/>
      <c r="N129" s="9">
        <f t="shared" si="10"/>
        <v>0</v>
      </c>
      <c r="O129" s="9"/>
      <c r="P129" s="9"/>
      <c r="Q129" s="10" t="s">
        <v>159</v>
      </c>
    </row>
    <row r="130" spans="1:17" s="11" customFormat="1" ht="39.950000000000003" customHeight="1" x14ac:dyDescent="0.3">
      <c r="A130" s="18" t="s">
        <v>654</v>
      </c>
      <c r="B130" s="23"/>
      <c r="C130" s="8"/>
      <c r="D130" s="25"/>
      <c r="E130" s="12" t="s">
        <v>1663</v>
      </c>
      <c r="F130" s="18" t="s">
        <v>1779</v>
      </c>
      <c r="G130" s="8">
        <v>1</v>
      </c>
      <c r="H130" s="8"/>
      <c r="I130" s="8"/>
      <c r="J130" s="8">
        <v>0</v>
      </c>
      <c r="K130" s="8">
        <f>+G130+H130-I130+J130</f>
        <v>1</v>
      </c>
      <c r="L130" s="8"/>
      <c r="M130" s="9">
        <v>7.99</v>
      </c>
      <c r="N130" s="9">
        <f>+L130*M130</f>
        <v>0</v>
      </c>
      <c r="O130" s="9"/>
      <c r="P130" s="9"/>
      <c r="Q130" s="10" t="s">
        <v>1887</v>
      </c>
    </row>
    <row r="131" spans="1:17" s="11" customFormat="1" ht="39.950000000000003" customHeight="1" x14ac:dyDescent="0.3">
      <c r="A131" s="18" t="s">
        <v>655</v>
      </c>
      <c r="B131" s="23"/>
      <c r="C131" s="8"/>
      <c r="D131" s="53" t="s">
        <v>2394</v>
      </c>
      <c r="E131" s="12" t="s">
        <v>35</v>
      </c>
      <c r="F131" s="18" t="s">
        <v>1779</v>
      </c>
      <c r="G131" s="8">
        <v>9</v>
      </c>
      <c r="H131" s="8"/>
      <c r="I131" s="8">
        <v>9</v>
      </c>
      <c r="J131" s="8"/>
      <c r="K131" s="8">
        <f>+G131+H131-I131</f>
        <v>0</v>
      </c>
      <c r="L131" s="8"/>
      <c r="M131" s="9">
        <v>1940</v>
      </c>
      <c r="N131" s="9">
        <f t="shared" ref="N131:N142" si="12">+K131*M131</f>
        <v>0</v>
      </c>
      <c r="O131" s="9"/>
      <c r="P131" s="9"/>
      <c r="Q131" s="10" t="s">
        <v>25</v>
      </c>
    </row>
    <row r="132" spans="1:17" s="11" customFormat="1" ht="39.950000000000003" customHeight="1" x14ac:dyDescent="0.3">
      <c r="A132" s="18" t="s">
        <v>656</v>
      </c>
      <c r="B132" s="23" t="s">
        <v>79</v>
      </c>
      <c r="C132" s="8"/>
      <c r="D132" s="53" t="s">
        <v>2394</v>
      </c>
      <c r="E132" s="12" t="s">
        <v>34</v>
      </c>
      <c r="F132" s="18" t="s">
        <v>1779</v>
      </c>
      <c r="G132" s="8">
        <v>6</v>
      </c>
      <c r="H132" s="8"/>
      <c r="I132" s="8"/>
      <c r="J132" s="8"/>
      <c r="K132" s="8">
        <f>+G132+H132-I132</f>
        <v>6</v>
      </c>
      <c r="L132" s="8"/>
      <c r="M132" s="9">
        <v>85</v>
      </c>
      <c r="N132" s="9">
        <f t="shared" si="12"/>
        <v>510</v>
      </c>
      <c r="O132" s="9"/>
      <c r="P132" s="9"/>
      <c r="Q132" s="10" t="s">
        <v>25</v>
      </c>
    </row>
    <row r="133" spans="1:17" s="11" customFormat="1" ht="39.950000000000003" customHeight="1" x14ac:dyDescent="0.3">
      <c r="A133" s="18" t="s">
        <v>657</v>
      </c>
      <c r="B133" s="23" t="s">
        <v>79</v>
      </c>
      <c r="C133" s="8"/>
      <c r="D133" s="53" t="s">
        <v>2394</v>
      </c>
      <c r="E133" s="12" t="s">
        <v>36</v>
      </c>
      <c r="F133" s="18" t="s">
        <v>1779</v>
      </c>
      <c r="G133" s="8">
        <v>1</v>
      </c>
      <c r="H133" s="8"/>
      <c r="I133" s="8"/>
      <c r="J133" s="8"/>
      <c r="K133" s="8">
        <f>+G133+H133-I133</f>
        <v>1</v>
      </c>
      <c r="L133" s="8"/>
      <c r="M133" s="9">
        <v>28</v>
      </c>
      <c r="N133" s="9">
        <f t="shared" si="12"/>
        <v>28</v>
      </c>
      <c r="O133" s="9"/>
      <c r="P133" s="9"/>
      <c r="Q133" s="10" t="s">
        <v>25</v>
      </c>
    </row>
    <row r="134" spans="1:17" s="11" customFormat="1" ht="39.950000000000003" customHeight="1" x14ac:dyDescent="0.3">
      <c r="A134" s="18" t="s">
        <v>658</v>
      </c>
      <c r="B134" s="19" t="s">
        <v>2303</v>
      </c>
      <c r="C134" s="20"/>
      <c r="D134" s="53" t="s">
        <v>2479</v>
      </c>
      <c r="E134" s="12" t="s">
        <v>2495</v>
      </c>
      <c r="F134" s="21" t="s">
        <v>2496</v>
      </c>
      <c r="G134" s="8"/>
      <c r="H134" s="8">
        <v>50</v>
      </c>
      <c r="I134" s="8"/>
      <c r="J134" s="8"/>
      <c r="K134" s="8">
        <f>+G134+H134-I134+J134</f>
        <v>50</v>
      </c>
      <c r="L134" s="8"/>
      <c r="M134" s="9">
        <v>116.5604</v>
      </c>
      <c r="N134" s="9">
        <f t="shared" si="12"/>
        <v>5828.02</v>
      </c>
      <c r="O134" s="9"/>
      <c r="P134" s="9"/>
      <c r="Q134" s="10" t="s">
        <v>25</v>
      </c>
    </row>
    <row r="135" spans="1:17" s="11" customFormat="1" ht="39.950000000000003" customHeight="1" x14ac:dyDescent="0.3">
      <c r="A135" s="18" t="s">
        <v>659</v>
      </c>
      <c r="B135" s="23"/>
      <c r="C135" s="8"/>
      <c r="D135" s="53" t="s">
        <v>2394</v>
      </c>
      <c r="E135" s="12" t="s">
        <v>37</v>
      </c>
      <c r="F135" s="18" t="s">
        <v>1779</v>
      </c>
      <c r="G135" s="8">
        <v>4</v>
      </c>
      <c r="H135" s="8"/>
      <c r="I135" s="8"/>
      <c r="J135" s="8"/>
      <c r="K135" s="8">
        <f>+G135+H135-I135</f>
        <v>4</v>
      </c>
      <c r="L135" s="8"/>
      <c r="M135" s="9">
        <v>700</v>
      </c>
      <c r="N135" s="9">
        <f t="shared" si="12"/>
        <v>2800</v>
      </c>
      <c r="O135" s="9"/>
      <c r="P135" s="9"/>
      <c r="Q135" s="10" t="s">
        <v>25</v>
      </c>
    </row>
    <row r="136" spans="1:17" s="11" customFormat="1" ht="39.950000000000003" customHeight="1" x14ac:dyDescent="0.3">
      <c r="A136" s="18" t="s">
        <v>660</v>
      </c>
      <c r="B136" s="23">
        <v>45499</v>
      </c>
      <c r="C136" s="8">
        <v>10</v>
      </c>
      <c r="D136" s="53" t="s">
        <v>2394</v>
      </c>
      <c r="E136" s="12" t="s">
        <v>38</v>
      </c>
      <c r="F136" s="18" t="s">
        <v>1779</v>
      </c>
      <c r="G136" s="8">
        <v>6</v>
      </c>
      <c r="H136" s="8"/>
      <c r="I136" s="8"/>
      <c r="J136" s="8"/>
      <c r="K136" s="8">
        <f>+G136+H136-I136</f>
        <v>6</v>
      </c>
      <c r="L136" s="8"/>
      <c r="M136" s="9">
        <v>700</v>
      </c>
      <c r="N136" s="9">
        <f t="shared" si="12"/>
        <v>4200</v>
      </c>
      <c r="O136" s="9"/>
      <c r="P136" s="9"/>
      <c r="Q136" s="10" t="s">
        <v>25</v>
      </c>
    </row>
    <row r="137" spans="1:17" s="11" customFormat="1" ht="39.950000000000003" customHeight="1" x14ac:dyDescent="0.3">
      <c r="A137" s="18" t="s">
        <v>661</v>
      </c>
      <c r="B137" s="23">
        <v>45804</v>
      </c>
      <c r="C137" s="8"/>
      <c r="D137" s="53" t="s">
        <v>2321</v>
      </c>
      <c r="E137" s="12" t="s">
        <v>2025</v>
      </c>
      <c r="F137" s="18" t="s">
        <v>1807</v>
      </c>
      <c r="G137" s="8"/>
      <c r="H137" s="8">
        <v>24</v>
      </c>
      <c r="I137" s="8"/>
      <c r="J137" s="8"/>
      <c r="K137" s="8">
        <f t="shared" ref="K137:K142" si="13">+G137+H137+-I137</f>
        <v>24</v>
      </c>
      <c r="L137" s="8"/>
      <c r="M137" s="9">
        <v>83</v>
      </c>
      <c r="N137" s="9">
        <f t="shared" si="12"/>
        <v>1992</v>
      </c>
      <c r="O137" s="9"/>
      <c r="P137" s="9"/>
      <c r="Q137" s="10" t="s">
        <v>433</v>
      </c>
    </row>
    <row r="138" spans="1:17" s="11" customFormat="1" ht="39.950000000000003" customHeight="1" x14ac:dyDescent="0.3">
      <c r="A138" s="18" t="s">
        <v>662</v>
      </c>
      <c r="B138" s="23"/>
      <c r="C138" s="8"/>
      <c r="D138" s="53" t="s">
        <v>2321</v>
      </c>
      <c r="E138" s="12" t="s">
        <v>1266</v>
      </c>
      <c r="F138" s="18" t="s">
        <v>1779</v>
      </c>
      <c r="G138" s="8">
        <v>3</v>
      </c>
      <c r="H138" s="8">
        <v>3</v>
      </c>
      <c r="I138" s="8"/>
      <c r="J138" s="8"/>
      <c r="K138" s="8">
        <f t="shared" si="13"/>
        <v>6</v>
      </c>
      <c r="L138" s="8"/>
      <c r="M138" s="9">
        <v>153.4</v>
      </c>
      <c r="N138" s="9">
        <f t="shared" si="12"/>
        <v>920.40000000000009</v>
      </c>
      <c r="O138" s="9"/>
      <c r="P138" s="9"/>
      <c r="Q138" s="10" t="s">
        <v>433</v>
      </c>
    </row>
    <row r="139" spans="1:17" s="11" customFormat="1" ht="39.950000000000003" customHeight="1" x14ac:dyDescent="0.3">
      <c r="A139" s="18" t="s">
        <v>663</v>
      </c>
      <c r="B139" s="23"/>
      <c r="C139" s="8"/>
      <c r="D139" s="53" t="s">
        <v>2321</v>
      </c>
      <c r="E139" s="12" t="s">
        <v>1271</v>
      </c>
      <c r="F139" s="18" t="s">
        <v>1779</v>
      </c>
      <c r="G139" s="8">
        <v>2</v>
      </c>
      <c r="H139" s="8"/>
      <c r="I139" s="8">
        <v>1</v>
      </c>
      <c r="J139" s="8"/>
      <c r="K139" s="8">
        <f t="shared" si="13"/>
        <v>1</v>
      </c>
      <c r="L139" s="8"/>
      <c r="M139" s="9">
        <v>118</v>
      </c>
      <c r="N139" s="9">
        <f t="shared" si="12"/>
        <v>118</v>
      </c>
      <c r="O139" s="9"/>
      <c r="P139" s="9"/>
      <c r="Q139" s="10" t="s">
        <v>433</v>
      </c>
    </row>
    <row r="140" spans="1:17" s="11" customFormat="1" ht="39.950000000000003" customHeight="1" x14ac:dyDescent="0.3">
      <c r="A140" s="18" t="s">
        <v>664</v>
      </c>
      <c r="B140" s="23"/>
      <c r="C140" s="8"/>
      <c r="D140" s="53" t="s">
        <v>2321</v>
      </c>
      <c r="E140" s="12" t="s">
        <v>1269</v>
      </c>
      <c r="F140" s="18" t="s">
        <v>1779</v>
      </c>
      <c r="G140" s="8">
        <v>4</v>
      </c>
      <c r="H140" s="8"/>
      <c r="I140" s="8"/>
      <c r="J140" s="8"/>
      <c r="K140" s="8">
        <f t="shared" si="13"/>
        <v>4</v>
      </c>
      <c r="L140" s="8"/>
      <c r="M140" s="9"/>
      <c r="N140" s="9">
        <f t="shared" si="12"/>
        <v>0</v>
      </c>
      <c r="O140" s="9"/>
      <c r="P140" s="9"/>
      <c r="Q140" s="10" t="s">
        <v>433</v>
      </c>
    </row>
    <row r="141" spans="1:17" s="11" customFormat="1" ht="39.950000000000003" customHeight="1" x14ac:dyDescent="0.3">
      <c r="A141" s="18" t="s">
        <v>665</v>
      </c>
      <c r="B141" s="23"/>
      <c r="C141" s="8"/>
      <c r="D141" s="53" t="s">
        <v>2321</v>
      </c>
      <c r="E141" s="12" t="s">
        <v>1267</v>
      </c>
      <c r="F141" s="18" t="s">
        <v>1779</v>
      </c>
      <c r="G141" s="8">
        <v>12</v>
      </c>
      <c r="H141" s="8"/>
      <c r="I141" s="8">
        <v>6</v>
      </c>
      <c r="J141" s="8"/>
      <c r="K141" s="8">
        <f t="shared" si="13"/>
        <v>6</v>
      </c>
      <c r="L141" s="8"/>
      <c r="M141" s="9">
        <v>118</v>
      </c>
      <c r="N141" s="9">
        <f t="shared" si="12"/>
        <v>708</v>
      </c>
      <c r="O141" s="9"/>
      <c r="P141" s="9"/>
      <c r="Q141" s="10" t="s">
        <v>433</v>
      </c>
    </row>
    <row r="142" spans="1:17" s="11" customFormat="1" ht="39.950000000000003" customHeight="1" x14ac:dyDescent="0.3">
      <c r="A142" s="18" t="s">
        <v>666</v>
      </c>
      <c r="B142" s="23"/>
      <c r="C142" s="8"/>
      <c r="D142" s="53" t="s">
        <v>2321</v>
      </c>
      <c r="E142" s="12" t="s">
        <v>1270</v>
      </c>
      <c r="F142" s="18" t="s">
        <v>1779</v>
      </c>
      <c r="G142" s="8">
        <v>4</v>
      </c>
      <c r="H142" s="8"/>
      <c r="I142" s="8"/>
      <c r="J142" s="8"/>
      <c r="K142" s="8">
        <f t="shared" si="13"/>
        <v>4</v>
      </c>
      <c r="L142" s="8"/>
      <c r="M142" s="9"/>
      <c r="N142" s="9">
        <f t="shared" si="12"/>
        <v>0</v>
      </c>
      <c r="O142" s="9"/>
      <c r="P142" s="9"/>
      <c r="Q142" s="10" t="s">
        <v>433</v>
      </c>
    </row>
    <row r="143" spans="1:17" s="11" customFormat="1" ht="39.950000000000003" customHeight="1" x14ac:dyDescent="0.3">
      <c r="A143" s="18" t="s">
        <v>667</v>
      </c>
      <c r="B143" s="19">
        <v>45813</v>
      </c>
      <c r="C143" s="20"/>
      <c r="D143" s="53" t="s">
        <v>2321</v>
      </c>
      <c r="E143" s="12" t="s">
        <v>2233</v>
      </c>
      <c r="F143" s="21" t="s">
        <v>1779</v>
      </c>
      <c r="G143" s="8"/>
      <c r="H143" s="8">
        <v>20</v>
      </c>
      <c r="I143" s="8"/>
      <c r="J143" s="8"/>
      <c r="K143" s="8">
        <f>+G143+H143-I143+J143</f>
        <v>20</v>
      </c>
      <c r="L143" s="8"/>
      <c r="M143" s="9">
        <v>593</v>
      </c>
      <c r="N143" s="9"/>
      <c r="O143" s="9"/>
      <c r="P143" s="9"/>
      <c r="Q143" s="10" t="s">
        <v>520</v>
      </c>
    </row>
    <row r="144" spans="1:17" s="11" customFormat="1" ht="39.950000000000003" customHeight="1" x14ac:dyDescent="0.3">
      <c r="A144" s="18" t="s">
        <v>668</v>
      </c>
      <c r="B144" s="23" t="s">
        <v>1997</v>
      </c>
      <c r="C144" s="8">
        <v>30</v>
      </c>
      <c r="D144" s="53" t="s">
        <v>2321</v>
      </c>
      <c r="E144" s="12" t="s">
        <v>2176</v>
      </c>
      <c r="F144" s="18" t="s">
        <v>1779</v>
      </c>
      <c r="G144" s="8"/>
      <c r="H144" s="8">
        <v>40</v>
      </c>
      <c r="I144" s="8"/>
      <c r="J144" s="8"/>
      <c r="K144" s="8">
        <f>+G144+H144-I144+J144</f>
        <v>40</v>
      </c>
      <c r="L144" s="8">
        <v>40</v>
      </c>
      <c r="M144" s="9">
        <v>134</v>
      </c>
      <c r="N144" s="9">
        <f t="shared" ref="N144:N155" si="14">+K144*M144</f>
        <v>5360</v>
      </c>
      <c r="O144" s="9"/>
      <c r="P144" s="9"/>
      <c r="Q144" s="10" t="s">
        <v>433</v>
      </c>
    </row>
    <row r="145" spans="1:17" s="11" customFormat="1" ht="39.950000000000003" customHeight="1" x14ac:dyDescent="0.3">
      <c r="A145" s="18" t="s">
        <v>669</v>
      </c>
      <c r="B145" s="23">
        <v>45469</v>
      </c>
      <c r="C145" s="8">
        <v>10</v>
      </c>
      <c r="D145" s="25" t="s">
        <v>2385</v>
      </c>
      <c r="E145" s="12" t="s">
        <v>1719</v>
      </c>
      <c r="F145" s="18" t="s">
        <v>1779</v>
      </c>
      <c r="G145" s="8">
        <v>25</v>
      </c>
      <c r="H145" s="8"/>
      <c r="I145" s="8">
        <f>3+2+2+1</f>
        <v>8</v>
      </c>
      <c r="J145" s="8"/>
      <c r="K145" s="8">
        <f>+G145+H145+-I145</f>
        <v>17</v>
      </c>
      <c r="L145" s="8"/>
      <c r="M145" s="9">
        <v>7.66</v>
      </c>
      <c r="N145" s="9">
        <f t="shared" si="14"/>
        <v>130.22</v>
      </c>
      <c r="O145" s="9"/>
      <c r="P145" s="9"/>
      <c r="Q145" s="10" t="s">
        <v>297</v>
      </c>
    </row>
    <row r="146" spans="1:17" s="11" customFormat="1" ht="39.950000000000003" customHeight="1" x14ac:dyDescent="0.3">
      <c r="A146" s="18" t="s">
        <v>670</v>
      </c>
      <c r="B146" s="23">
        <v>45469</v>
      </c>
      <c r="C146" s="8">
        <v>10</v>
      </c>
      <c r="D146" s="25" t="s">
        <v>2385</v>
      </c>
      <c r="E146" s="12" t="s">
        <v>1718</v>
      </c>
      <c r="F146" s="18" t="s">
        <v>1779</v>
      </c>
      <c r="G146" s="8">
        <v>17</v>
      </c>
      <c r="H146" s="8"/>
      <c r="I146" s="8">
        <f>1+2+1+1</f>
        <v>5</v>
      </c>
      <c r="J146" s="8"/>
      <c r="K146" s="8">
        <f>+G146+H146+-I146</f>
        <v>12</v>
      </c>
      <c r="L146" s="8"/>
      <c r="M146" s="9">
        <v>7.66</v>
      </c>
      <c r="N146" s="9">
        <f t="shared" si="14"/>
        <v>91.92</v>
      </c>
      <c r="O146" s="9"/>
      <c r="P146" s="9"/>
      <c r="Q146" s="10" t="s">
        <v>297</v>
      </c>
    </row>
    <row r="147" spans="1:17" s="11" customFormat="1" ht="39.950000000000003" customHeight="1" x14ac:dyDescent="0.3">
      <c r="A147" s="18" t="s">
        <v>671</v>
      </c>
      <c r="B147" s="23">
        <v>45645</v>
      </c>
      <c r="C147" s="8"/>
      <c r="D147" s="25" t="s">
        <v>2468</v>
      </c>
      <c r="E147" s="12" t="s">
        <v>1546</v>
      </c>
      <c r="F147" s="18" t="s">
        <v>1779</v>
      </c>
      <c r="G147" s="8"/>
      <c r="H147" s="8">
        <v>5</v>
      </c>
      <c r="I147" s="8">
        <v>1</v>
      </c>
      <c r="J147" s="8"/>
      <c r="K147" s="8">
        <f>+G147+H147-I147+J147</f>
        <v>4</v>
      </c>
      <c r="L147" s="8"/>
      <c r="M147" s="9">
        <v>572.50059999999996</v>
      </c>
      <c r="N147" s="9">
        <f t="shared" si="14"/>
        <v>2290.0023999999999</v>
      </c>
      <c r="O147" s="9"/>
      <c r="P147" s="9"/>
      <c r="Q147" s="10" t="s">
        <v>520</v>
      </c>
    </row>
    <row r="148" spans="1:17" s="11" customFormat="1" ht="39.950000000000003" customHeight="1" x14ac:dyDescent="0.3">
      <c r="A148" s="18" t="s">
        <v>672</v>
      </c>
      <c r="B148" s="23">
        <v>45645</v>
      </c>
      <c r="C148" s="8"/>
      <c r="D148" s="25" t="s">
        <v>2468</v>
      </c>
      <c r="E148" s="12" t="s">
        <v>1547</v>
      </c>
      <c r="F148" s="18" t="s">
        <v>1779</v>
      </c>
      <c r="G148" s="8"/>
      <c r="H148" s="8">
        <v>2</v>
      </c>
      <c r="I148" s="8">
        <v>1</v>
      </c>
      <c r="J148" s="8"/>
      <c r="K148" s="8">
        <f>+G148+H148-I148+J148</f>
        <v>1</v>
      </c>
      <c r="L148" s="8"/>
      <c r="M148" s="9">
        <v>572.50059999999996</v>
      </c>
      <c r="N148" s="9">
        <f t="shared" si="14"/>
        <v>572.50059999999996</v>
      </c>
      <c r="O148" s="9"/>
      <c r="P148" s="9"/>
      <c r="Q148" s="10" t="s">
        <v>520</v>
      </c>
    </row>
    <row r="149" spans="1:17" s="11" customFormat="1" ht="39.950000000000003" customHeight="1" x14ac:dyDescent="0.3">
      <c r="A149" s="18" t="s">
        <v>673</v>
      </c>
      <c r="B149" s="23">
        <v>45645</v>
      </c>
      <c r="C149" s="8"/>
      <c r="D149" s="25" t="s">
        <v>2468</v>
      </c>
      <c r="E149" s="12" t="s">
        <v>1548</v>
      </c>
      <c r="F149" s="18" t="s">
        <v>1779</v>
      </c>
      <c r="G149" s="8"/>
      <c r="H149" s="8">
        <v>2</v>
      </c>
      <c r="I149" s="8">
        <f>1+1</f>
        <v>2</v>
      </c>
      <c r="J149" s="8"/>
      <c r="K149" s="8">
        <f>+G149+H149-I149+J149</f>
        <v>0</v>
      </c>
      <c r="L149" s="8"/>
      <c r="M149" s="9">
        <v>572.50059999999996</v>
      </c>
      <c r="N149" s="9">
        <f t="shared" si="14"/>
        <v>0</v>
      </c>
      <c r="O149" s="9"/>
      <c r="P149" s="9"/>
      <c r="Q149" s="10" t="s">
        <v>520</v>
      </c>
    </row>
    <row r="150" spans="1:17" s="11" customFormat="1" ht="20.25" x14ac:dyDescent="0.3">
      <c r="A150" s="18" t="s">
        <v>674</v>
      </c>
      <c r="B150" s="23">
        <v>45645</v>
      </c>
      <c r="C150" s="8"/>
      <c r="D150" s="25" t="s">
        <v>2468</v>
      </c>
      <c r="E150" s="12" t="s">
        <v>1549</v>
      </c>
      <c r="F150" s="18" t="s">
        <v>1779</v>
      </c>
      <c r="G150" s="8"/>
      <c r="H150" s="8">
        <v>2</v>
      </c>
      <c r="I150" s="8">
        <v>1</v>
      </c>
      <c r="J150" s="8"/>
      <c r="K150" s="8">
        <f>+G150+H150-I150+J150</f>
        <v>1</v>
      </c>
      <c r="L150" s="8"/>
      <c r="M150" s="9">
        <v>572.50059999999996</v>
      </c>
      <c r="N150" s="9">
        <f t="shared" si="14"/>
        <v>572.50059999999996</v>
      </c>
      <c r="O150" s="9"/>
      <c r="P150" s="9"/>
      <c r="Q150" s="10" t="s">
        <v>520</v>
      </c>
    </row>
    <row r="151" spans="1:17" s="11" customFormat="1" ht="20.25" x14ac:dyDescent="0.3">
      <c r="A151" s="18" t="s">
        <v>675</v>
      </c>
      <c r="B151" s="23">
        <v>45645</v>
      </c>
      <c r="C151" s="8"/>
      <c r="D151" s="25" t="s">
        <v>2468</v>
      </c>
      <c r="E151" s="12" t="s">
        <v>1550</v>
      </c>
      <c r="F151" s="18" t="s">
        <v>1779</v>
      </c>
      <c r="G151" s="8"/>
      <c r="H151" s="8">
        <v>1</v>
      </c>
      <c r="I151" s="8">
        <v>1</v>
      </c>
      <c r="J151" s="8"/>
      <c r="K151" s="8">
        <f>+G151+H151-I151+J151</f>
        <v>0</v>
      </c>
      <c r="L151" s="8"/>
      <c r="M151" s="9">
        <v>572.50059999999996</v>
      </c>
      <c r="N151" s="9">
        <f t="shared" si="14"/>
        <v>0</v>
      </c>
      <c r="O151" s="9"/>
      <c r="P151" s="9"/>
      <c r="Q151" s="10" t="s">
        <v>520</v>
      </c>
    </row>
    <row r="152" spans="1:17" s="11" customFormat="1" ht="20.25" x14ac:dyDescent="0.3">
      <c r="A152" s="18" t="s">
        <v>676</v>
      </c>
      <c r="B152" s="23">
        <v>45693</v>
      </c>
      <c r="C152" s="8"/>
      <c r="D152" s="25"/>
      <c r="E152" s="12" t="s">
        <v>2472</v>
      </c>
      <c r="F152" s="18" t="s">
        <v>1807</v>
      </c>
      <c r="G152" s="8"/>
      <c r="H152" s="8">
        <v>2</v>
      </c>
      <c r="I152" s="8">
        <v>2</v>
      </c>
      <c r="J152" s="8"/>
      <c r="K152" s="8">
        <f>+G152+H152+-I152</f>
        <v>0</v>
      </c>
      <c r="L152" s="8"/>
      <c r="M152" s="9">
        <v>1322</v>
      </c>
      <c r="N152" s="9">
        <f t="shared" si="14"/>
        <v>0</v>
      </c>
      <c r="O152" s="9"/>
      <c r="P152" s="9"/>
      <c r="Q152" s="10" t="s">
        <v>1808</v>
      </c>
    </row>
    <row r="153" spans="1:17" s="11" customFormat="1" ht="20.25" x14ac:dyDescent="0.3">
      <c r="A153" s="18" t="s">
        <v>677</v>
      </c>
      <c r="B153" s="19" t="s">
        <v>2305</v>
      </c>
      <c r="C153" s="20">
        <v>30</v>
      </c>
      <c r="D153" s="53" t="s">
        <v>2320</v>
      </c>
      <c r="E153" s="12" t="s">
        <v>2308</v>
      </c>
      <c r="F153" s="18" t="s">
        <v>1779</v>
      </c>
      <c r="G153" s="8"/>
      <c r="H153" s="8">
        <v>2</v>
      </c>
      <c r="I153" s="8"/>
      <c r="J153" s="8"/>
      <c r="K153" s="8">
        <f t="shared" ref="K153:K160" si="15">+G153+H153-I153+J153</f>
        <v>2</v>
      </c>
      <c r="L153" s="8"/>
      <c r="M153" s="9">
        <v>3314.62</v>
      </c>
      <c r="N153" s="9">
        <f t="shared" si="14"/>
        <v>6629.24</v>
      </c>
      <c r="O153" s="9"/>
      <c r="P153" s="9"/>
      <c r="Q153" s="10" t="s">
        <v>25</v>
      </c>
    </row>
    <row r="154" spans="1:17" s="11" customFormat="1" ht="20.25" x14ac:dyDescent="0.3">
      <c r="A154" s="18" t="s">
        <v>678</v>
      </c>
      <c r="B154" s="19" t="s">
        <v>2305</v>
      </c>
      <c r="C154" s="20">
        <v>30</v>
      </c>
      <c r="D154" s="53" t="s">
        <v>2320</v>
      </c>
      <c r="E154" s="12" t="s">
        <v>2307</v>
      </c>
      <c r="F154" s="18" t="s">
        <v>1779</v>
      </c>
      <c r="G154" s="8"/>
      <c r="H154" s="8">
        <v>2</v>
      </c>
      <c r="I154" s="8"/>
      <c r="J154" s="8"/>
      <c r="K154" s="8">
        <f t="shared" si="15"/>
        <v>2</v>
      </c>
      <c r="L154" s="8"/>
      <c r="M154" s="9">
        <v>3314.62</v>
      </c>
      <c r="N154" s="9">
        <f t="shared" si="14"/>
        <v>6629.24</v>
      </c>
      <c r="O154" s="9"/>
      <c r="P154" s="9"/>
      <c r="Q154" s="10" t="s">
        <v>25</v>
      </c>
    </row>
    <row r="155" spans="1:17" s="11" customFormat="1" ht="20.25" x14ac:dyDescent="0.3">
      <c r="A155" s="18" t="s">
        <v>679</v>
      </c>
      <c r="B155" s="19" t="s">
        <v>2305</v>
      </c>
      <c r="C155" s="20">
        <v>30</v>
      </c>
      <c r="D155" s="53" t="s">
        <v>2320</v>
      </c>
      <c r="E155" s="12" t="s">
        <v>2306</v>
      </c>
      <c r="F155" s="18" t="s">
        <v>1779</v>
      </c>
      <c r="G155" s="8"/>
      <c r="H155" s="8">
        <v>2</v>
      </c>
      <c r="I155" s="8"/>
      <c r="J155" s="8"/>
      <c r="K155" s="8">
        <f t="shared" si="15"/>
        <v>2</v>
      </c>
      <c r="L155" s="8"/>
      <c r="M155" s="9">
        <v>3314.62</v>
      </c>
      <c r="N155" s="9">
        <f t="shared" si="14"/>
        <v>6629.24</v>
      </c>
      <c r="O155" s="9"/>
      <c r="P155" s="9"/>
      <c r="Q155" s="10" t="s">
        <v>25</v>
      </c>
    </row>
    <row r="156" spans="1:17" s="11" customFormat="1" ht="20.25" x14ac:dyDescent="0.3">
      <c r="A156" s="18" t="s">
        <v>680</v>
      </c>
      <c r="B156" s="19">
        <v>45813</v>
      </c>
      <c r="C156" s="20"/>
      <c r="D156" s="25" t="s">
        <v>2468</v>
      </c>
      <c r="E156" s="12" t="s">
        <v>2230</v>
      </c>
      <c r="F156" s="21" t="s">
        <v>1779</v>
      </c>
      <c r="G156" s="8"/>
      <c r="H156" s="8">
        <v>3</v>
      </c>
      <c r="I156" s="8">
        <v>3</v>
      </c>
      <c r="J156" s="8"/>
      <c r="K156" s="8">
        <f t="shared" si="15"/>
        <v>0</v>
      </c>
      <c r="L156" s="8"/>
      <c r="M156" s="9">
        <v>8300</v>
      </c>
      <c r="N156" s="9"/>
      <c r="O156" s="9"/>
      <c r="P156" s="54"/>
      <c r="Q156" s="55" t="s">
        <v>520</v>
      </c>
    </row>
    <row r="157" spans="1:17" s="11" customFormat="1" ht="20.25" x14ac:dyDescent="0.3">
      <c r="A157" s="18" t="s">
        <v>681</v>
      </c>
      <c r="B157" s="19">
        <v>45813</v>
      </c>
      <c r="C157" s="20"/>
      <c r="D157" s="25" t="s">
        <v>2468</v>
      </c>
      <c r="E157" s="12" t="s">
        <v>2231</v>
      </c>
      <c r="F157" s="21" t="s">
        <v>1779</v>
      </c>
      <c r="G157" s="8"/>
      <c r="H157" s="8">
        <v>4</v>
      </c>
      <c r="I157" s="8">
        <f>2+2</f>
        <v>4</v>
      </c>
      <c r="J157" s="8"/>
      <c r="K157" s="8">
        <f t="shared" si="15"/>
        <v>0</v>
      </c>
      <c r="L157" s="8"/>
      <c r="M157" s="9">
        <v>8300</v>
      </c>
      <c r="N157" s="9"/>
      <c r="O157" s="9"/>
      <c r="P157" s="9"/>
      <c r="Q157" s="10" t="s">
        <v>520</v>
      </c>
    </row>
    <row r="158" spans="1:17" s="11" customFormat="1" ht="20.25" x14ac:dyDescent="0.3">
      <c r="A158" s="18" t="s">
        <v>682</v>
      </c>
      <c r="B158" s="19">
        <v>45813</v>
      </c>
      <c r="C158" s="20"/>
      <c r="D158" s="25" t="s">
        <v>2468</v>
      </c>
      <c r="E158" s="12" t="s">
        <v>2232</v>
      </c>
      <c r="F158" s="21" t="s">
        <v>1779</v>
      </c>
      <c r="G158" s="8"/>
      <c r="H158" s="8">
        <v>1</v>
      </c>
      <c r="I158" s="8">
        <v>1</v>
      </c>
      <c r="J158" s="8"/>
      <c r="K158" s="8">
        <f t="shared" si="15"/>
        <v>0</v>
      </c>
      <c r="L158" s="8"/>
      <c r="M158" s="9">
        <v>8300</v>
      </c>
      <c r="N158" s="9"/>
      <c r="O158" s="9"/>
      <c r="P158" s="54"/>
      <c r="Q158" s="55" t="s">
        <v>520</v>
      </c>
    </row>
    <row r="159" spans="1:17" s="11" customFormat="1" ht="20.25" x14ac:dyDescent="0.3">
      <c r="A159" s="18" t="s">
        <v>683</v>
      </c>
      <c r="B159" s="19">
        <v>45813</v>
      </c>
      <c r="C159" s="20"/>
      <c r="D159" s="25" t="s">
        <v>2468</v>
      </c>
      <c r="E159" s="12" t="s">
        <v>2228</v>
      </c>
      <c r="F159" s="21" t="s">
        <v>1779</v>
      </c>
      <c r="G159" s="8"/>
      <c r="H159" s="8">
        <v>2</v>
      </c>
      <c r="I159" s="8">
        <v>2</v>
      </c>
      <c r="J159" s="8"/>
      <c r="K159" s="8">
        <f t="shared" si="15"/>
        <v>0</v>
      </c>
      <c r="L159" s="8"/>
      <c r="M159" s="9">
        <v>8300</v>
      </c>
      <c r="N159" s="9"/>
      <c r="O159" s="9"/>
      <c r="P159" s="54"/>
      <c r="Q159" s="55" t="s">
        <v>520</v>
      </c>
    </row>
    <row r="160" spans="1:17" s="11" customFormat="1" ht="20.25" x14ac:dyDescent="0.3">
      <c r="A160" s="18" t="s">
        <v>684</v>
      </c>
      <c r="B160" s="19">
        <v>45813</v>
      </c>
      <c r="C160" s="20"/>
      <c r="D160" s="25" t="s">
        <v>2468</v>
      </c>
      <c r="E160" s="12" t="s">
        <v>2229</v>
      </c>
      <c r="F160" s="21" t="s">
        <v>1779</v>
      </c>
      <c r="G160" s="8"/>
      <c r="H160" s="8">
        <v>1</v>
      </c>
      <c r="I160" s="8">
        <v>1</v>
      </c>
      <c r="J160" s="8"/>
      <c r="K160" s="8">
        <f t="shared" si="15"/>
        <v>0</v>
      </c>
      <c r="L160" s="8"/>
      <c r="M160" s="9">
        <v>8300</v>
      </c>
      <c r="N160" s="9"/>
      <c r="O160" s="9"/>
      <c r="P160" s="9"/>
      <c r="Q160" s="10" t="s">
        <v>520</v>
      </c>
    </row>
    <row r="161" spans="1:17" s="11" customFormat="1" ht="40.5" x14ac:dyDescent="0.3">
      <c r="A161" s="18" t="s">
        <v>685</v>
      </c>
      <c r="B161" s="23"/>
      <c r="C161" s="8"/>
      <c r="D161" s="25"/>
      <c r="E161" s="12" t="s">
        <v>432</v>
      </c>
      <c r="F161" s="18" t="s">
        <v>1779</v>
      </c>
      <c r="G161" s="8">
        <v>48</v>
      </c>
      <c r="H161" s="8"/>
      <c r="I161" s="8"/>
      <c r="J161" s="8"/>
      <c r="K161" s="8">
        <f>+G161+H161+-I161</f>
        <v>48</v>
      </c>
      <c r="L161" s="8"/>
      <c r="M161" s="9">
        <v>400</v>
      </c>
      <c r="N161" s="9">
        <f t="shared" ref="N161:N170" si="16">+K161*M161</f>
        <v>19200</v>
      </c>
      <c r="O161" s="9"/>
      <c r="P161" s="9"/>
      <c r="Q161" s="10" t="s">
        <v>431</v>
      </c>
    </row>
    <row r="162" spans="1:17" s="11" customFormat="1" ht="20.25" x14ac:dyDescent="0.3">
      <c r="A162" s="18" t="s">
        <v>686</v>
      </c>
      <c r="B162" s="23"/>
      <c r="C162" s="8"/>
      <c r="D162" s="53" t="s">
        <v>2394</v>
      </c>
      <c r="E162" s="12" t="s">
        <v>39</v>
      </c>
      <c r="F162" s="18" t="s">
        <v>1779</v>
      </c>
      <c r="G162" s="8">
        <v>2</v>
      </c>
      <c r="H162" s="8"/>
      <c r="I162" s="8"/>
      <c r="J162" s="8"/>
      <c r="K162" s="8">
        <f t="shared" ref="K162:K168" si="17">+G162+H162-I162</f>
        <v>2</v>
      </c>
      <c r="L162" s="8"/>
      <c r="M162" s="9">
        <v>2600</v>
      </c>
      <c r="N162" s="9">
        <f t="shared" si="16"/>
        <v>5200</v>
      </c>
      <c r="O162" s="9"/>
      <c r="P162" s="9"/>
      <c r="Q162" s="10" t="s">
        <v>25</v>
      </c>
    </row>
    <row r="163" spans="1:17" s="11" customFormat="1" ht="20.25" x14ac:dyDescent="0.3">
      <c r="A163" s="18" t="s">
        <v>687</v>
      </c>
      <c r="B163" s="23"/>
      <c r="C163" s="8"/>
      <c r="D163" s="53" t="s">
        <v>2394</v>
      </c>
      <c r="E163" s="12" t="s">
        <v>40</v>
      </c>
      <c r="F163" s="18" t="s">
        <v>1779</v>
      </c>
      <c r="G163" s="8">
        <v>4</v>
      </c>
      <c r="H163" s="8"/>
      <c r="I163" s="8"/>
      <c r="J163" s="8"/>
      <c r="K163" s="8">
        <f t="shared" si="17"/>
        <v>4</v>
      </c>
      <c r="L163" s="8"/>
      <c r="M163" s="9">
        <v>201</v>
      </c>
      <c r="N163" s="9">
        <f t="shared" si="16"/>
        <v>804</v>
      </c>
      <c r="O163" s="9"/>
      <c r="P163" s="9"/>
      <c r="Q163" s="10" t="s">
        <v>25</v>
      </c>
    </row>
    <row r="164" spans="1:17" s="11" customFormat="1" ht="20.25" x14ac:dyDescent="0.3">
      <c r="A164" s="18" t="s">
        <v>688</v>
      </c>
      <c r="B164" s="23"/>
      <c r="C164" s="8"/>
      <c r="D164" s="53" t="s">
        <v>2394</v>
      </c>
      <c r="E164" s="12" t="s">
        <v>41</v>
      </c>
      <c r="F164" s="18" t="s">
        <v>1779</v>
      </c>
      <c r="G164" s="8">
        <v>1</v>
      </c>
      <c r="H164" s="8"/>
      <c r="I164" s="8"/>
      <c r="J164" s="8"/>
      <c r="K164" s="8">
        <f t="shared" si="17"/>
        <v>1</v>
      </c>
      <c r="L164" s="8"/>
      <c r="M164" s="9">
        <v>2104</v>
      </c>
      <c r="N164" s="9">
        <f t="shared" si="16"/>
        <v>2104</v>
      </c>
      <c r="O164" s="9"/>
      <c r="P164" s="9"/>
      <c r="Q164" s="10" t="s">
        <v>25</v>
      </c>
    </row>
    <row r="165" spans="1:17" s="11" customFormat="1" ht="20.25" x14ac:dyDescent="0.3">
      <c r="A165" s="18" t="s">
        <v>689</v>
      </c>
      <c r="B165" s="23"/>
      <c r="C165" s="8"/>
      <c r="D165" s="53" t="s">
        <v>2394</v>
      </c>
      <c r="E165" s="12" t="s">
        <v>42</v>
      </c>
      <c r="F165" s="18" t="s">
        <v>1779</v>
      </c>
      <c r="G165" s="8">
        <v>2</v>
      </c>
      <c r="H165" s="8"/>
      <c r="I165" s="8"/>
      <c r="J165" s="8"/>
      <c r="K165" s="8">
        <f t="shared" si="17"/>
        <v>2</v>
      </c>
      <c r="L165" s="8"/>
      <c r="M165" s="9">
        <v>205</v>
      </c>
      <c r="N165" s="9">
        <f t="shared" si="16"/>
        <v>410</v>
      </c>
      <c r="O165" s="9"/>
      <c r="P165" s="9"/>
      <c r="Q165" s="10" t="s">
        <v>25</v>
      </c>
    </row>
    <row r="166" spans="1:17" s="11" customFormat="1" ht="40.5" x14ac:dyDescent="0.3">
      <c r="A166" s="18" t="s">
        <v>690</v>
      </c>
      <c r="B166" s="23"/>
      <c r="C166" s="8"/>
      <c r="D166" s="53" t="s">
        <v>2394</v>
      </c>
      <c r="E166" s="12" t="s">
        <v>43</v>
      </c>
      <c r="F166" s="18" t="s">
        <v>1779</v>
      </c>
      <c r="G166" s="8">
        <v>2</v>
      </c>
      <c r="H166" s="8"/>
      <c r="I166" s="8"/>
      <c r="J166" s="8"/>
      <c r="K166" s="8">
        <f t="shared" si="17"/>
        <v>2</v>
      </c>
      <c r="L166" s="8"/>
      <c r="M166" s="9">
        <v>1082</v>
      </c>
      <c r="N166" s="9">
        <f t="shared" si="16"/>
        <v>2164</v>
      </c>
      <c r="O166" s="9"/>
      <c r="P166" s="9"/>
      <c r="Q166" s="10" t="s">
        <v>25</v>
      </c>
    </row>
    <row r="167" spans="1:17" s="11" customFormat="1" ht="20.25" customHeight="1" x14ac:dyDescent="0.3">
      <c r="A167" s="18" t="s">
        <v>691</v>
      </c>
      <c r="B167" s="23"/>
      <c r="C167" s="8"/>
      <c r="D167" s="53" t="s">
        <v>2394</v>
      </c>
      <c r="E167" s="12" t="s">
        <v>44</v>
      </c>
      <c r="F167" s="18" t="s">
        <v>1779</v>
      </c>
      <c r="G167" s="8">
        <v>11</v>
      </c>
      <c r="H167" s="8"/>
      <c r="I167" s="8"/>
      <c r="J167" s="8"/>
      <c r="K167" s="8">
        <f t="shared" si="17"/>
        <v>11</v>
      </c>
      <c r="L167" s="8"/>
      <c r="M167" s="9">
        <v>805</v>
      </c>
      <c r="N167" s="9">
        <f t="shared" si="16"/>
        <v>8855</v>
      </c>
      <c r="O167" s="9"/>
      <c r="P167" s="9"/>
      <c r="Q167" s="10" t="s">
        <v>25</v>
      </c>
    </row>
    <row r="168" spans="1:17" s="11" customFormat="1" ht="20.25" x14ac:dyDescent="0.3">
      <c r="A168" s="18" t="s">
        <v>692</v>
      </c>
      <c r="B168" s="23"/>
      <c r="C168" s="8"/>
      <c r="D168" s="53" t="s">
        <v>2394</v>
      </c>
      <c r="E168" s="12" t="s">
        <v>45</v>
      </c>
      <c r="F168" s="18" t="s">
        <v>1779</v>
      </c>
      <c r="G168" s="8">
        <f>10-1</f>
        <v>9</v>
      </c>
      <c r="H168" s="8"/>
      <c r="I168" s="8"/>
      <c r="J168" s="8"/>
      <c r="K168" s="8">
        <f t="shared" si="17"/>
        <v>9</v>
      </c>
      <c r="L168" s="8"/>
      <c r="M168" s="9">
        <v>2600</v>
      </c>
      <c r="N168" s="9">
        <f t="shared" si="16"/>
        <v>23400</v>
      </c>
      <c r="O168" s="9"/>
      <c r="P168" s="9"/>
      <c r="Q168" s="10" t="s">
        <v>25</v>
      </c>
    </row>
    <row r="169" spans="1:17" s="11" customFormat="1" ht="40.5" x14ac:dyDescent="0.3">
      <c r="A169" s="18" t="s">
        <v>693</v>
      </c>
      <c r="B169" s="23"/>
      <c r="C169" s="8"/>
      <c r="D169" s="25"/>
      <c r="E169" s="12" t="s">
        <v>1316</v>
      </c>
      <c r="F169" s="18" t="s">
        <v>1779</v>
      </c>
      <c r="G169" s="8"/>
      <c r="H169" s="8">
        <v>1</v>
      </c>
      <c r="I169" s="8">
        <v>1</v>
      </c>
      <c r="J169" s="8"/>
      <c r="K169" s="8">
        <f>+G169+H169-I169+J169</f>
        <v>0</v>
      </c>
      <c r="L169" s="8"/>
      <c r="M169" s="9">
        <v>1989.87</v>
      </c>
      <c r="N169" s="9">
        <f t="shared" si="16"/>
        <v>0</v>
      </c>
      <c r="O169" s="9"/>
      <c r="P169" s="9"/>
      <c r="Q169" s="10" t="s">
        <v>1307</v>
      </c>
    </row>
    <row r="170" spans="1:17" s="11" customFormat="1" ht="40.5" x14ac:dyDescent="0.3">
      <c r="A170" s="18" t="s">
        <v>694</v>
      </c>
      <c r="B170" s="23"/>
      <c r="C170" s="8"/>
      <c r="D170" s="53" t="s">
        <v>2394</v>
      </c>
      <c r="E170" s="12" t="s">
        <v>49</v>
      </c>
      <c r="F170" s="18" t="s">
        <v>1779</v>
      </c>
      <c r="G170" s="8">
        <v>10</v>
      </c>
      <c r="H170" s="8"/>
      <c r="I170" s="8">
        <f>1+2+1+1+1</f>
        <v>6</v>
      </c>
      <c r="J170" s="8"/>
      <c r="K170" s="8">
        <f>+G170+H170-I170</f>
        <v>4</v>
      </c>
      <c r="L170" s="8"/>
      <c r="M170" s="9">
        <v>1156.4000000000001</v>
      </c>
      <c r="N170" s="9">
        <f t="shared" si="16"/>
        <v>4625.6000000000004</v>
      </c>
      <c r="O170" s="9"/>
      <c r="P170" s="9"/>
      <c r="Q170" s="10" t="s">
        <v>25</v>
      </c>
    </row>
    <row r="171" spans="1:17" s="11" customFormat="1" ht="20.25" x14ac:dyDescent="0.3">
      <c r="A171" s="18" t="s">
        <v>695</v>
      </c>
      <c r="B171" s="19">
        <v>45828</v>
      </c>
      <c r="C171" s="20">
        <v>10</v>
      </c>
      <c r="D171" s="53" t="s">
        <v>2394</v>
      </c>
      <c r="E171" s="12" t="s">
        <v>2241</v>
      </c>
      <c r="F171" s="18" t="s">
        <v>1779</v>
      </c>
      <c r="G171" s="8"/>
      <c r="H171" s="8">
        <v>3</v>
      </c>
      <c r="I171" s="8"/>
      <c r="J171" s="8"/>
      <c r="K171" s="8">
        <f>+G171+H171-I171+J171</f>
        <v>3</v>
      </c>
      <c r="L171" s="8"/>
      <c r="M171" s="9">
        <v>2006</v>
      </c>
      <c r="N171" s="9"/>
      <c r="O171" s="9"/>
      <c r="P171" s="9"/>
      <c r="Q171" s="10" t="s">
        <v>25</v>
      </c>
    </row>
    <row r="172" spans="1:17" s="11" customFormat="1" ht="20.25" x14ac:dyDescent="0.3">
      <c r="A172" s="18" t="s">
        <v>696</v>
      </c>
      <c r="B172" s="23"/>
      <c r="C172" s="8"/>
      <c r="D172" s="53" t="s">
        <v>2394</v>
      </c>
      <c r="E172" s="12" t="s">
        <v>47</v>
      </c>
      <c r="F172" s="18" t="s">
        <v>1779</v>
      </c>
      <c r="G172" s="8">
        <v>4</v>
      </c>
      <c r="H172" s="8"/>
      <c r="I172" s="8"/>
      <c r="J172" s="8"/>
      <c r="K172" s="8">
        <f>+G172+H172-I172</f>
        <v>4</v>
      </c>
      <c r="L172" s="8"/>
      <c r="M172" s="9">
        <v>421</v>
      </c>
      <c r="N172" s="9">
        <f t="shared" ref="N172:N203" si="18">+K172*M172</f>
        <v>1684</v>
      </c>
      <c r="O172" s="9"/>
      <c r="P172" s="9"/>
      <c r="Q172" s="10" t="s">
        <v>25</v>
      </c>
    </row>
    <row r="173" spans="1:17" s="11" customFormat="1" ht="40.5" x14ac:dyDescent="0.3">
      <c r="A173" s="18" t="s">
        <v>697</v>
      </c>
      <c r="B173" s="23"/>
      <c r="C173" s="8"/>
      <c r="D173" s="53" t="s">
        <v>2394</v>
      </c>
      <c r="E173" s="12" t="s">
        <v>48</v>
      </c>
      <c r="F173" s="18" t="s">
        <v>1779</v>
      </c>
      <c r="G173" s="8">
        <v>8</v>
      </c>
      <c r="H173" s="8"/>
      <c r="I173" s="8">
        <f>1+2+1+1+1+2</f>
        <v>8</v>
      </c>
      <c r="J173" s="8"/>
      <c r="K173" s="8">
        <f>+G173+H173-I173</f>
        <v>0</v>
      </c>
      <c r="L173" s="8"/>
      <c r="M173" s="9">
        <v>386.29</v>
      </c>
      <c r="N173" s="9">
        <f t="shared" si="18"/>
        <v>0</v>
      </c>
      <c r="O173" s="9"/>
      <c r="P173" s="9"/>
      <c r="Q173" s="10" t="s">
        <v>25</v>
      </c>
    </row>
    <row r="174" spans="1:17" s="11" customFormat="1" ht="23.25" customHeight="1" x14ac:dyDescent="0.3">
      <c r="A174" s="18" t="s">
        <v>698</v>
      </c>
      <c r="B174" s="19" t="s">
        <v>2303</v>
      </c>
      <c r="C174" s="20"/>
      <c r="D174" s="53" t="s">
        <v>2479</v>
      </c>
      <c r="E174" s="12" t="s">
        <v>2497</v>
      </c>
      <c r="F174" s="21" t="s">
        <v>2496</v>
      </c>
      <c r="G174" s="8"/>
      <c r="H174" s="8">
        <v>32</v>
      </c>
      <c r="I174" s="8"/>
      <c r="J174" s="8"/>
      <c r="K174" s="8">
        <f>+G174+H174-I174+J174</f>
        <v>32</v>
      </c>
      <c r="L174" s="8"/>
      <c r="M174" s="9">
        <v>905.34320000000002</v>
      </c>
      <c r="N174" s="9">
        <f t="shared" si="18"/>
        <v>28970.982400000001</v>
      </c>
      <c r="O174" s="9"/>
      <c r="P174" s="9"/>
      <c r="Q174" s="10" t="s">
        <v>25</v>
      </c>
    </row>
    <row r="175" spans="1:17" s="11" customFormat="1" ht="20.25" customHeight="1" x14ac:dyDescent="0.3">
      <c r="A175" s="18" t="s">
        <v>699</v>
      </c>
      <c r="B175" s="23">
        <v>45499</v>
      </c>
      <c r="C175" s="8">
        <v>10</v>
      </c>
      <c r="D175" s="53" t="s">
        <v>2394</v>
      </c>
      <c r="E175" s="12" t="s">
        <v>52</v>
      </c>
      <c r="F175" s="18" t="s">
        <v>1779</v>
      </c>
      <c r="G175" s="8">
        <v>23</v>
      </c>
      <c r="H175" s="8"/>
      <c r="I175" s="8">
        <v>1</v>
      </c>
      <c r="J175" s="8"/>
      <c r="K175" s="8">
        <f>+G175+H175-I175</f>
        <v>22</v>
      </c>
      <c r="L175" s="8"/>
      <c r="M175" s="9">
        <v>236</v>
      </c>
      <c r="N175" s="9">
        <f t="shared" si="18"/>
        <v>5192</v>
      </c>
      <c r="O175" s="9"/>
      <c r="P175" s="9"/>
      <c r="Q175" s="10" t="s">
        <v>25</v>
      </c>
    </row>
    <row r="176" spans="1:17" s="11" customFormat="1" ht="39.950000000000003" customHeight="1" x14ac:dyDescent="0.3">
      <c r="A176" s="18" t="s">
        <v>700</v>
      </c>
      <c r="B176" s="23"/>
      <c r="C176" s="8"/>
      <c r="D176" s="53" t="s">
        <v>2394</v>
      </c>
      <c r="E176" s="12" t="s">
        <v>51</v>
      </c>
      <c r="F176" s="18" t="s">
        <v>1779</v>
      </c>
      <c r="G176" s="8">
        <v>24</v>
      </c>
      <c r="H176" s="8"/>
      <c r="I176" s="8">
        <f>15+2+1</f>
        <v>18</v>
      </c>
      <c r="J176" s="8"/>
      <c r="K176" s="8">
        <f>+G176+H176-I176</f>
        <v>6</v>
      </c>
      <c r="L176" s="8"/>
      <c r="M176" s="9">
        <v>236</v>
      </c>
      <c r="N176" s="9">
        <f t="shared" si="18"/>
        <v>1416</v>
      </c>
      <c r="O176" s="9"/>
      <c r="P176" s="9"/>
      <c r="Q176" s="10" t="s">
        <v>25</v>
      </c>
    </row>
    <row r="177" spans="1:17" s="11" customFormat="1" ht="39.950000000000003" customHeight="1" x14ac:dyDescent="0.3">
      <c r="A177" s="18" t="s">
        <v>701</v>
      </c>
      <c r="B177" s="23">
        <v>44193</v>
      </c>
      <c r="C177" s="8"/>
      <c r="D177" s="53" t="s">
        <v>2394</v>
      </c>
      <c r="E177" s="12" t="s">
        <v>46</v>
      </c>
      <c r="F177" s="18" t="s">
        <v>1779</v>
      </c>
      <c r="G177" s="8">
        <v>19</v>
      </c>
      <c r="H177" s="8"/>
      <c r="I177" s="8">
        <f>1+2+1</f>
        <v>4</v>
      </c>
      <c r="J177" s="8"/>
      <c r="K177" s="8">
        <f>+G177+H177-I177</f>
        <v>15</v>
      </c>
      <c r="L177" s="8"/>
      <c r="M177" s="9">
        <v>358.96</v>
      </c>
      <c r="N177" s="9">
        <f t="shared" si="18"/>
        <v>5384.4</v>
      </c>
      <c r="O177" s="9"/>
      <c r="P177" s="9"/>
      <c r="Q177" s="10" t="s">
        <v>25</v>
      </c>
    </row>
    <row r="178" spans="1:17" s="11" customFormat="1" ht="39" customHeight="1" x14ac:dyDescent="0.3">
      <c r="A178" s="18" t="s">
        <v>702</v>
      </c>
      <c r="B178" s="23"/>
      <c r="C178" s="8"/>
      <c r="D178" s="53" t="s">
        <v>2394</v>
      </c>
      <c r="E178" s="12" t="s">
        <v>50</v>
      </c>
      <c r="F178" s="18" t="s">
        <v>1779</v>
      </c>
      <c r="G178" s="8">
        <v>28</v>
      </c>
      <c r="H178" s="8"/>
      <c r="I178" s="8">
        <v>6</v>
      </c>
      <c r="J178" s="8"/>
      <c r="K178" s="8">
        <f>+G178+H178-I178</f>
        <v>22</v>
      </c>
      <c r="L178" s="8"/>
      <c r="M178" s="9">
        <v>625.4</v>
      </c>
      <c r="N178" s="9">
        <f t="shared" si="18"/>
        <v>13758.8</v>
      </c>
      <c r="O178" s="9"/>
      <c r="P178" s="9"/>
      <c r="Q178" s="10" t="s">
        <v>25</v>
      </c>
    </row>
    <row r="179" spans="1:17" s="11" customFormat="1" ht="40.5" x14ac:dyDescent="0.3">
      <c r="A179" s="18" t="s">
        <v>703</v>
      </c>
      <c r="B179" s="23">
        <v>45500</v>
      </c>
      <c r="C179" s="8"/>
      <c r="D179" s="25" t="s">
        <v>2438</v>
      </c>
      <c r="E179" s="12" t="s">
        <v>248</v>
      </c>
      <c r="F179" s="18" t="s">
        <v>1779</v>
      </c>
      <c r="G179" s="8">
        <v>180</v>
      </c>
      <c r="H179" s="8"/>
      <c r="I179" s="8">
        <f>8+4+3+10</f>
        <v>25</v>
      </c>
      <c r="J179" s="8"/>
      <c r="K179" s="8">
        <f>+G179+H179+-I179</f>
        <v>155</v>
      </c>
      <c r="L179" s="8">
        <f>83+36+36</f>
        <v>155</v>
      </c>
      <c r="M179" s="9">
        <v>10.33</v>
      </c>
      <c r="N179" s="9">
        <f t="shared" si="18"/>
        <v>1601.15</v>
      </c>
      <c r="O179" s="9"/>
      <c r="P179" s="9"/>
      <c r="Q179" s="10" t="s">
        <v>235</v>
      </c>
    </row>
    <row r="180" spans="1:17" s="11" customFormat="1" ht="40.5" x14ac:dyDescent="0.3">
      <c r="A180" s="18" t="s">
        <v>704</v>
      </c>
      <c r="B180" s="23">
        <v>45500</v>
      </c>
      <c r="C180" s="8"/>
      <c r="D180" s="25" t="s">
        <v>2438</v>
      </c>
      <c r="E180" s="12" t="s">
        <v>1538</v>
      </c>
      <c r="F180" s="18" t="s">
        <v>1779</v>
      </c>
      <c r="G180" s="8">
        <f>72-1-2</f>
        <v>69</v>
      </c>
      <c r="H180" s="8"/>
      <c r="I180" s="8">
        <f>2+25+2-3+2+2+1</f>
        <v>31</v>
      </c>
      <c r="J180" s="8"/>
      <c r="K180" s="8">
        <f>+G180+H180+-I180</f>
        <v>38</v>
      </c>
      <c r="L180" s="8">
        <v>38</v>
      </c>
      <c r="M180" s="9">
        <v>25</v>
      </c>
      <c r="N180" s="9">
        <f t="shared" si="18"/>
        <v>950</v>
      </c>
      <c r="O180" s="9"/>
      <c r="P180" s="9"/>
      <c r="Q180" s="10" t="s">
        <v>235</v>
      </c>
    </row>
    <row r="181" spans="1:17" s="11" customFormat="1" ht="39.950000000000003" customHeight="1" x14ac:dyDescent="0.3">
      <c r="A181" s="18" t="s">
        <v>705</v>
      </c>
      <c r="B181" s="23"/>
      <c r="C181" s="8"/>
      <c r="D181" s="25" t="s">
        <v>2438</v>
      </c>
      <c r="E181" s="12" t="s">
        <v>249</v>
      </c>
      <c r="F181" s="18" t="s">
        <v>1779</v>
      </c>
      <c r="G181" s="8">
        <v>74</v>
      </c>
      <c r="H181" s="8"/>
      <c r="I181" s="8">
        <f>4+3</f>
        <v>7</v>
      </c>
      <c r="J181" s="8"/>
      <c r="K181" s="8">
        <f>+G181+H181+-I181</f>
        <v>67</v>
      </c>
      <c r="L181" s="8">
        <v>67</v>
      </c>
      <c r="M181" s="9">
        <v>25</v>
      </c>
      <c r="N181" s="9">
        <f t="shared" si="18"/>
        <v>1675</v>
      </c>
      <c r="O181" s="9"/>
      <c r="P181" s="9"/>
      <c r="Q181" s="10" t="s">
        <v>235</v>
      </c>
    </row>
    <row r="182" spans="1:17" s="11" customFormat="1" ht="40.5" x14ac:dyDescent="0.3">
      <c r="A182" s="18" t="s">
        <v>706</v>
      </c>
      <c r="B182" s="23">
        <v>45698</v>
      </c>
      <c r="C182" s="8"/>
      <c r="D182" s="25" t="s">
        <v>2438</v>
      </c>
      <c r="E182" s="12" t="s">
        <v>250</v>
      </c>
      <c r="F182" s="18" t="s">
        <v>1779</v>
      </c>
      <c r="G182" s="8">
        <v>29</v>
      </c>
      <c r="H182" s="8">
        <v>288</v>
      </c>
      <c r="I182" s="8">
        <f>72+6+2+72+2+3+6+5+6+5+2+5+5+5+5+32</f>
        <v>233</v>
      </c>
      <c r="J182" s="8"/>
      <c r="K182" s="8">
        <f>+G182+H182+-I182</f>
        <v>84</v>
      </c>
      <c r="L182" s="8">
        <v>90</v>
      </c>
      <c r="M182" s="9">
        <v>19.256</v>
      </c>
      <c r="N182" s="9">
        <f t="shared" si="18"/>
        <v>1617.5039999999999</v>
      </c>
      <c r="O182" s="9"/>
      <c r="P182" s="9"/>
      <c r="Q182" s="10" t="s">
        <v>235</v>
      </c>
    </row>
    <row r="183" spans="1:17" s="11" customFormat="1" ht="40.5" x14ac:dyDescent="0.3">
      <c r="A183" s="18" t="s">
        <v>707</v>
      </c>
      <c r="B183" s="23"/>
      <c r="C183" s="8"/>
      <c r="D183" s="25" t="s">
        <v>2438</v>
      </c>
      <c r="E183" s="12" t="s">
        <v>251</v>
      </c>
      <c r="F183" s="18" t="s">
        <v>1779</v>
      </c>
      <c r="G183" s="8">
        <v>21</v>
      </c>
      <c r="H183" s="8"/>
      <c r="I183" s="8">
        <v>5</v>
      </c>
      <c r="J183" s="8"/>
      <c r="K183" s="8">
        <f>+G183+H183+-I183</f>
        <v>16</v>
      </c>
      <c r="L183" s="8">
        <v>14</v>
      </c>
      <c r="M183" s="9">
        <v>25</v>
      </c>
      <c r="N183" s="9">
        <f t="shared" si="18"/>
        <v>400</v>
      </c>
      <c r="O183" s="9"/>
      <c r="P183" s="9"/>
      <c r="Q183" s="10" t="s">
        <v>235</v>
      </c>
    </row>
    <row r="184" spans="1:17" s="11" customFormat="1" ht="20.25" x14ac:dyDescent="0.3">
      <c r="A184" s="18" t="s">
        <v>708</v>
      </c>
      <c r="B184" s="23"/>
      <c r="C184" s="8"/>
      <c r="D184" s="25" t="s">
        <v>2318</v>
      </c>
      <c r="E184" s="12" t="s">
        <v>1500</v>
      </c>
      <c r="F184" s="18" t="s">
        <v>1779</v>
      </c>
      <c r="G184" s="8">
        <v>6</v>
      </c>
      <c r="H184" s="8"/>
      <c r="I184" s="8">
        <v>1</v>
      </c>
      <c r="J184" s="8"/>
      <c r="K184" s="8">
        <f>+G184+H184-I184+J184</f>
        <v>5</v>
      </c>
      <c r="L184" s="8">
        <v>5</v>
      </c>
      <c r="M184" s="9">
        <v>60.003</v>
      </c>
      <c r="N184" s="9">
        <f t="shared" si="18"/>
        <v>300.01499999999999</v>
      </c>
      <c r="O184" s="9"/>
      <c r="P184" s="9"/>
      <c r="Q184" s="10" t="s">
        <v>109</v>
      </c>
    </row>
    <row r="185" spans="1:17" s="11" customFormat="1" ht="20.25" customHeight="1" x14ac:dyDescent="0.3">
      <c r="A185" s="18" t="s">
        <v>709</v>
      </c>
      <c r="B185" s="23"/>
      <c r="C185" s="8"/>
      <c r="D185" s="25" t="s">
        <v>2318</v>
      </c>
      <c r="E185" s="12" t="s">
        <v>1566</v>
      </c>
      <c r="F185" s="18" t="s">
        <v>1779</v>
      </c>
      <c r="G185" s="8">
        <v>44</v>
      </c>
      <c r="H185" s="8"/>
      <c r="I185" s="8">
        <f>1+1+2+1+1+1</f>
        <v>7</v>
      </c>
      <c r="J185" s="8"/>
      <c r="K185" s="8">
        <f>+G185+H185-I185</f>
        <v>37</v>
      </c>
      <c r="L185" s="8">
        <v>43</v>
      </c>
      <c r="M185" s="9">
        <v>65.489999999999995</v>
      </c>
      <c r="N185" s="9">
        <f t="shared" si="18"/>
        <v>2423.1299999999997</v>
      </c>
      <c r="O185" s="9"/>
      <c r="P185" s="9"/>
      <c r="Q185" s="10" t="s">
        <v>109</v>
      </c>
    </row>
    <row r="186" spans="1:17" s="11" customFormat="1" ht="23.25" customHeight="1" x14ac:dyDescent="0.3">
      <c r="A186" s="18" t="s">
        <v>710</v>
      </c>
      <c r="B186" s="23"/>
      <c r="C186" s="8"/>
      <c r="D186" s="25" t="s">
        <v>2318</v>
      </c>
      <c r="E186" s="12" t="s">
        <v>110</v>
      </c>
      <c r="F186" s="18" t="s">
        <v>1779</v>
      </c>
      <c r="G186" s="8">
        <v>5</v>
      </c>
      <c r="H186" s="8"/>
      <c r="I186" s="8">
        <f>1+1+2+1</f>
        <v>5</v>
      </c>
      <c r="J186" s="8"/>
      <c r="K186" s="8">
        <f>+G186+H186-I186</f>
        <v>0</v>
      </c>
      <c r="L186" s="8"/>
      <c r="M186" s="9">
        <v>50.86</v>
      </c>
      <c r="N186" s="9">
        <f t="shared" si="18"/>
        <v>0</v>
      </c>
      <c r="O186" s="9"/>
      <c r="P186" s="9"/>
      <c r="Q186" s="10" t="s">
        <v>109</v>
      </c>
    </row>
    <row r="187" spans="1:17" s="11" customFormat="1" ht="40.5" x14ac:dyDescent="0.3">
      <c r="A187" s="18" t="s">
        <v>711</v>
      </c>
      <c r="B187" s="23">
        <v>45799</v>
      </c>
      <c r="C187" s="8">
        <v>10</v>
      </c>
      <c r="D187" s="25" t="s">
        <v>2318</v>
      </c>
      <c r="E187" s="12" t="s">
        <v>1856</v>
      </c>
      <c r="F187" s="8" t="s">
        <v>1779</v>
      </c>
      <c r="G187" s="8"/>
      <c r="H187" s="8">
        <v>100</v>
      </c>
      <c r="I187" s="8"/>
      <c r="J187" s="8"/>
      <c r="K187" s="8">
        <f>+G187+H187+-I187</f>
        <v>100</v>
      </c>
      <c r="L187" s="8">
        <v>100</v>
      </c>
      <c r="M187" s="9">
        <v>28</v>
      </c>
      <c r="N187" s="9">
        <f t="shared" si="18"/>
        <v>2800</v>
      </c>
      <c r="O187" s="10"/>
      <c r="P187" s="56"/>
      <c r="Q187" s="56" t="s">
        <v>109</v>
      </c>
    </row>
    <row r="188" spans="1:17" s="11" customFormat="1" ht="20.25" customHeight="1" x14ac:dyDescent="0.3">
      <c r="A188" s="18" t="s">
        <v>2507</v>
      </c>
      <c r="B188" s="23">
        <v>45799</v>
      </c>
      <c r="C188" s="8">
        <v>10</v>
      </c>
      <c r="D188" s="25" t="s">
        <v>2318</v>
      </c>
      <c r="E188" s="12" t="s">
        <v>2020</v>
      </c>
      <c r="F188" s="18" t="s">
        <v>1807</v>
      </c>
      <c r="G188" s="8"/>
      <c r="H188" s="8">
        <v>24</v>
      </c>
      <c r="I188" s="8"/>
      <c r="J188" s="8"/>
      <c r="K188" s="8">
        <f>+G188+H188+-I188</f>
        <v>24</v>
      </c>
      <c r="L188" s="8">
        <v>24</v>
      </c>
      <c r="M188" s="9">
        <v>31</v>
      </c>
      <c r="N188" s="9">
        <f t="shared" si="18"/>
        <v>744</v>
      </c>
      <c r="O188" s="9"/>
      <c r="P188" s="9"/>
      <c r="Q188" s="10" t="s">
        <v>109</v>
      </c>
    </row>
    <row r="189" spans="1:17" s="11" customFormat="1" ht="23.25" customHeight="1" x14ac:dyDescent="0.3">
      <c r="A189" s="18" t="s">
        <v>712</v>
      </c>
      <c r="B189" s="23">
        <v>45799</v>
      </c>
      <c r="C189" s="8">
        <v>10</v>
      </c>
      <c r="D189" s="25" t="s">
        <v>2318</v>
      </c>
      <c r="E189" s="12" t="s">
        <v>1857</v>
      </c>
      <c r="F189" s="8" t="s">
        <v>1779</v>
      </c>
      <c r="G189" s="8"/>
      <c r="H189" s="8">
        <v>100</v>
      </c>
      <c r="I189" s="8">
        <v>3</v>
      </c>
      <c r="J189" s="8"/>
      <c r="K189" s="8">
        <f>+G189+H189+-I189</f>
        <v>97</v>
      </c>
      <c r="L189" s="8">
        <v>95</v>
      </c>
      <c r="M189" s="9">
        <v>53</v>
      </c>
      <c r="N189" s="9">
        <f t="shared" si="18"/>
        <v>5141</v>
      </c>
      <c r="O189" s="10"/>
      <c r="P189" s="56"/>
      <c r="Q189" s="56" t="s">
        <v>109</v>
      </c>
    </row>
    <row r="190" spans="1:17" s="11" customFormat="1" ht="20.25" x14ac:dyDescent="0.3">
      <c r="A190" s="18" t="s">
        <v>713</v>
      </c>
      <c r="B190" s="23">
        <v>44193</v>
      </c>
      <c r="C190" s="8"/>
      <c r="D190" s="25" t="s">
        <v>2318</v>
      </c>
      <c r="E190" s="12" t="s">
        <v>1567</v>
      </c>
      <c r="F190" s="8" t="s">
        <v>1779</v>
      </c>
      <c r="G190" s="8">
        <v>40</v>
      </c>
      <c r="H190" s="8"/>
      <c r="I190" s="8">
        <v>23</v>
      </c>
      <c r="J190" s="8"/>
      <c r="K190" s="8">
        <f>+G190+H190-I190+J190</f>
        <v>17</v>
      </c>
      <c r="L190" s="8">
        <v>16</v>
      </c>
      <c r="M190" s="9">
        <v>82</v>
      </c>
      <c r="N190" s="9">
        <f t="shared" si="18"/>
        <v>1394</v>
      </c>
      <c r="O190" s="10"/>
      <c r="P190" s="56"/>
      <c r="Q190" s="56" t="s">
        <v>109</v>
      </c>
    </row>
    <row r="191" spans="1:17" s="11" customFormat="1" ht="20.25" x14ac:dyDescent="0.3">
      <c r="A191" s="18" t="s">
        <v>714</v>
      </c>
      <c r="B191" s="23" t="s">
        <v>1971</v>
      </c>
      <c r="C191" s="8">
        <v>10</v>
      </c>
      <c r="D191" s="25" t="s">
        <v>2318</v>
      </c>
      <c r="E191" s="12" t="s">
        <v>2005</v>
      </c>
      <c r="F191" s="18" t="s">
        <v>1779</v>
      </c>
      <c r="G191" s="8"/>
      <c r="H191" s="8">
        <v>60</v>
      </c>
      <c r="I191" s="8"/>
      <c r="J191" s="8"/>
      <c r="K191" s="8">
        <f>+G191+H191-I191+J191</f>
        <v>60</v>
      </c>
      <c r="L191" s="8">
        <v>60</v>
      </c>
      <c r="M191" s="9">
        <v>31</v>
      </c>
      <c r="N191" s="9">
        <f t="shared" si="18"/>
        <v>1860</v>
      </c>
      <c r="O191" s="9"/>
      <c r="P191" s="9"/>
      <c r="Q191" s="10" t="s">
        <v>1191</v>
      </c>
    </row>
    <row r="192" spans="1:17" s="11" customFormat="1" ht="40.5" x14ac:dyDescent="0.3">
      <c r="A192" s="18" t="s">
        <v>715</v>
      </c>
      <c r="B192" s="23">
        <v>45799</v>
      </c>
      <c r="C192" s="8">
        <v>10</v>
      </c>
      <c r="D192" s="25" t="s">
        <v>2318</v>
      </c>
      <c r="E192" s="12" t="s">
        <v>1849</v>
      </c>
      <c r="F192" s="18" t="s">
        <v>1779</v>
      </c>
      <c r="G192" s="8"/>
      <c r="H192" s="8">
        <v>100</v>
      </c>
      <c r="I192" s="8">
        <v>1</v>
      </c>
      <c r="J192" s="8"/>
      <c r="K192" s="8">
        <f>+G192+H192+-I192</f>
        <v>99</v>
      </c>
      <c r="L192" s="8">
        <v>99</v>
      </c>
      <c r="M192" s="9">
        <v>93</v>
      </c>
      <c r="N192" s="9">
        <f t="shared" si="18"/>
        <v>9207</v>
      </c>
      <c r="O192" s="9"/>
      <c r="P192" s="9"/>
      <c r="Q192" s="10" t="s">
        <v>1191</v>
      </c>
    </row>
    <row r="193" spans="1:17" s="11" customFormat="1" ht="20.25" x14ac:dyDescent="0.3">
      <c r="A193" s="18" t="s">
        <v>716</v>
      </c>
      <c r="B193" s="23">
        <v>45792</v>
      </c>
      <c r="C193" s="8">
        <v>10</v>
      </c>
      <c r="D193" s="25" t="s">
        <v>2318</v>
      </c>
      <c r="E193" s="12" t="s">
        <v>1818</v>
      </c>
      <c r="F193" s="18" t="s">
        <v>1779</v>
      </c>
      <c r="G193" s="18"/>
      <c r="H193" s="8">
        <v>100</v>
      </c>
      <c r="I193" s="8">
        <v>1</v>
      </c>
      <c r="J193" s="8"/>
      <c r="K193" s="8">
        <f>+G193+H193+-I193</f>
        <v>99</v>
      </c>
      <c r="L193" s="8">
        <v>99</v>
      </c>
      <c r="M193" s="9">
        <v>57</v>
      </c>
      <c r="N193" s="9">
        <f t="shared" si="18"/>
        <v>5643</v>
      </c>
      <c r="O193" s="9"/>
      <c r="P193" s="9"/>
      <c r="Q193" s="10" t="s">
        <v>1191</v>
      </c>
    </row>
    <row r="194" spans="1:17" s="11" customFormat="1" ht="20.25" x14ac:dyDescent="0.3">
      <c r="A194" s="18" t="s">
        <v>717</v>
      </c>
      <c r="B194" s="23"/>
      <c r="C194" s="8"/>
      <c r="D194" s="25" t="s">
        <v>2318</v>
      </c>
      <c r="E194" s="12" t="s">
        <v>1219</v>
      </c>
      <c r="F194" s="18" t="s">
        <v>1779</v>
      </c>
      <c r="G194" s="8">
        <v>1</v>
      </c>
      <c r="H194" s="8"/>
      <c r="I194" s="8">
        <v>1</v>
      </c>
      <c r="J194" s="8"/>
      <c r="K194" s="8">
        <f>+G194+H194-I194</f>
        <v>0</v>
      </c>
      <c r="L194" s="8"/>
      <c r="M194" s="9">
        <v>81.819999999999993</v>
      </c>
      <c r="N194" s="9">
        <f t="shared" si="18"/>
        <v>0</v>
      </c>
      <c r="O194" s="9"/>
      <c r="P194" s="9"/>
      <c r="Q194" s="10" t="s">
        <v>109</v>
      </c>
    </row>
    <row r="195" spans="1:17" s="11" customFormat="1" ht="20.25" x14ac:dyDescent="0.3">
      <c r="A195" s="18" t="s">
        <v>718</v>
      </c>
      <c r="B195" s="23">
        <v>45414</v>
      </c>
      <c r="C195" s="8"/>
      <c r="D195" s="25" t="s">
        <v>2318</v>
      </c>
      <c r="E195" s="12" t="s">
        <v>112</v>
      </c>
      <c r="F195" s="18" t="s">
        <v>1779</v>
      </c>
      <c r="G195" s="8">
        <v>9</v>
      </c>
      <c r="H195" s="8"/>
      <c r="I195" s="8">
        <v>9</v>
      </c>
      <c r="J195" s="8"/>
      <c r="K195" s="8">
        <f>+G195+H195-I195</f>
        <v>0</v>
      </c>
      <c r="L195" s="8"/>
      <c r="M195" s="9">
        <v>81.819999999999993</v>
      </c>
      <c r="N195" s="9">
        <f t="shared" si="18"/>
        <v>0</v>
      </c>
      <c r="O195" s="9"/>
      <c r="P195" s="9"/>
      <c r="Q195" s="10" t="s">
        <v>109</v>
      </c>
    </row>
    <row r="196" spans="1:17" s="11" customFormat="1" ht="20.25" x14ac:dyDescent="0.3">
      <c r="A196" s="18" t="s">
        <v>719</v>
      </c>
      <c r="B196" s="23">
        <v>45414</v>
      </c>
      <c r="C196" s="8"/>
      <c r="D196" s="25" t="s">
        <v>2318</v>
      </c>
      <c r="E196" s="12" t="s">
        <v>111</v>
      </c>
      <c r="F196" s="18" t="s">
        <v>1779</v>
      </c>
      <c r="G196" s="8">
        <f>21-1-2</f>
        <v>18</v>
      </c>
      <c r="H196" s="8"/>
      <c r="I196" s="8">
        <f>1+1+3+2+1+2+1+1+1+1+1+2+1</f>
        <v>18</v>
      </c>
      <c r="J196" s="8"/>
      <c r="K196" s="8">
        <f>+G196+H196-I196</f>
        <v>0</v>
      </c>
      <c r="L196" s="8"/>
      <c r="M196" s="9">
        <v>81.819999999999993</v>
      </c>
      <c r="N196" s="9">
        <f t="shared" si="18"/>
        <v>0</v>
      </c>
      <c r="O196" s="9"/>
      <c r="P196" s="9"/>
      <c r="Q196" s="10" t="s">
        <v>109</v>
      </c>
    </row>
    <row r="197" spans="1:17" s="11" customFormat="1" ht="20.25" x14ac:dyDescent="0.3">
      <c r="A197" s="18" t="s">
        <v>720</v>
      </c>
      <c r="B197" s="23">
        <v>45414</v>
      </c>
      <c r="C197" s="8"/>
      <c r="D197" s="25" t="s">
        <v>2318</v>
      </c>
      <c r="E197" s="18" t="s">
        <v>114</v>
      </c>
      <c r="F197" s="18" t="s">
        <v>1779</v>
      </c>
      <c r="G197" s="18">
        <f>30-1-1</f>
        <v>28</v>
      </c>
      <c r="H197" s="8"/>
      <c r="I197" s="8">
        <f>1+1+1+1+2+2+1+1+1+1+1+1+1+1</f>
        <v>16</v>
      </c>
      <c r="J197" s="8"/>
      <c r="K197" s="8">
        <f>+G197+H197-I197</f>
        <v>12</v>
      </c>
      <c r="L197" s="8">
        <v>10</v>
      </c>
      <c r="M197" s="9">
        <v>99.98</v>
      </c>
      <c r="N197" s="9">
        <f t="shared" si="18"/>
        <v>1199.76</v>
      </c>
      <c r="O197" s="9"/>
      <c r="P197" s="9"/>
      <c r="Q197" s="10" t="s">
        <v>109</v>
      </c>
    </row>
    <row r="198" spans="1:17" s="11" customFormat="1" ht="20.25" x14ac:dyDescent="0.3">
      <c r="A198" s="18" t="s">
        <v>721</v>
      </c>
      <c r="B198" s="23">
        <v>45414</v>
      </c>
      <c r="C198" s="8"/>
      <c r="D198" s="25"/>
      <c r="E198" s="12" t="s">
        <v>1755</v>
      </c>
      <c r="F198" s="18" t="s">
        <v>1779</v>
      </c>
      <c r="G198" s="8">
        <v>3</v>
      </c>
      <c r="H198" s="8"/>
      <c r="I198" s="8">
        <v>3</v>
      </c>
      <c r="J198" s="8"/>
      <c r="K198" s="8">
        <f>+G198+H198+-I198</f>
        <v>0</v>
      </c>
      <c r="L198" s="8"/>
      <c r="M198" s="9">
        <v>45</v>
      </c>
      <c r="N198" s="9">
        <f t="shared" si="18"/>
        <v>0</v>
      </c>
      <c r="O198" s="9"/>
      <c r="P198" s="9"/>
      <c r="Q198" s="10" t="s">
        <v>433</v>
      </c>
    </row>
    <row r="199" spans="1:17" s="11" customFormat="1" ht="20.25" x14ac:dyDescent="0.3">
      <c r="A199" s="18" t="s">
        <v>722</v>
      </c>
      <c r="B199" s="23">
        <v>45414</v>
      </c>
      <c r="C199" s="8">
        <v>10</v>
      </c>
      <c r="D199" s="53" t="s">
        <v>2394</v>
      </c>
      <c r="E199" s="12" t="s">
        <v>54</v>
      </c>
      <c r="F199" s="18" t="s">
        <v>1779</v>
      </c>
      <c r="G199" s="8">
        <v>650</v>
      </c>
      <c r="H199" s="8">
        <v>350</v>
      </c>
      <c r="I199" s="8">
        <v>350</v>
      </c>
      <c r="J199" s="8"/>
      <c r="K199" s="8">
        <f>+G199+H199-I199</f>
        <v>650</v>
      </c>
      <c r="L199" s="8"/>
      <c r="M199" s="9"/>
      <c r="N199" s="9">
        <f t="shared" si="18"/>
        <v>0</v>
      </c>
      <c r="O199" s="9"/>
      <c r="P199" s="9"/>
      <c r="Q199" s="10" t="s">
        <v>25</v>
      </c>
    </row>
    <row r="200" spans="1:17" s="11" customFormat="1" ht="20.25" x14ac:dyDescent="0.3">
      <c r="A200" s="18" t="s">
        <v>723</v>
      </c>
      <c r="B200" s="23">
        <v>45761</v>
      </c>
      <c r="C200" s="8">
        <v>10</v>
      </c>
      <c r="D200" s="24" t="s">
        <v>2389</v>
      </c>
      <c r="E200" s="12" t="s">
        <v>1772</v>
      </c>
      <c r="F200" s="18" t="s">
        <v>1779</v>
      </c>
      <c r="G200" s="13">
        <f>145-2-3-2-1-2-3-2-3-3</f>
        <v>124</v>
      </c>
      <c r="H200" s="8">
        <f>100+100</f>
        <v>200</v>
      </c>
      <c r="I200" s="8">
        <f>187+4+4+4+3+4+1+4+3+3+3+4+3+3+2+3+3+2+4+3+2+1+4+3</f>
        <v>257</v>
      </c>
      <c r="J200" s="8"/>
      <c r="K200" s="8">
        <f>+G200+H200-I200</f>
        <v>67</v>
      </c>
      <c r="L200" s="8">
        <v>80</v>
      </c>
      <c r="M200" s="9">
        <v>462.38</v>
      </c>
      <c r="N200" s="9">
        <f t="shared" si="18"/>
        <v>30979.46</v>
      </c>
      <c r="O200" s="9"/>
      <c r="P200" s="9"/>
      <c r="Q200" s="10" t="s">
        <v>18</v>
      </c>
    </row>
    <row r="201" spans="1:17" s="11" customFormat="1" ht="20.25" x14ac:dyDescent="0.3">
      <c r="A201" s="18" t="s">
        <v>724</v>
      </c>
      <c r="B201" s="23">
        <v>45555</v>
      </c>
      <c r="C201" s="8">
        <v>10</v>
      </c>
      <c r="D201" s="12" t="s">
        <v>2394</v>
      </c>
      <c r="E201" s="12" t="s">
        <v>55</v>
      </c>
      <c r="F201" s="18" t="s">
        <v>1779</v>
      </c>
      <c r="G201" s="8">
        <f>3-1</f>
        <v>2</v>
      </c>
      <c r="H201" s="8"/>
      <c r="I201" s="8"/>
      <c r="J201" s="8"/>
      <c r="K201" s="8">
        <f>+G201+H201-I201</f>
        <v>2</v>
      </c>
      <c r="L201" s="8"/>
      <c r="M201" s="9">
        <v>35</v>
      </c>
      <c r="N201" s="9">
        <f t="shared" si="18"/>
        <v>70</v>
      </c>
      <c r="O201" s="9"/>
      <c r="P201" s="9"/>
      <c r="Q201" s="10" t="s">
        <v>25</v>
      </c>
    </row>
    <row r="202" spans="1:17" s="11" customFormat="1" ht="20.25" x14ac:dyDescent="0.3">
      <c r="A202" s="18" t="s">
        <v>725</v>
      </c>
      <c r="B202" s="19" t="s">
        <v>2337</v>
      </c>
      <c r="C202" s="20">
        <v>10</v>
      </c>
      <c r="D202" s="12" t="s">
        <v>2394</v>
      </c>
      <c r="E202" s="12" t="s">
        <v>2338</v>
      </c>
      <c r="F202" s="18" t="s">
        <v>1779</v>
      </c>
      <c r="G202" s="8"/>
      <c r="H202" s="8">
        <v>3</v>
      </c>
      <c r="I202" s="8"/>
      <c r="J202" s="8"/>
      <c r="K202" s="8">
        <f>+G202+H202-I202+J202</f>
        <v>3</v>
      </c>
      <c r="L202" s="8"/>
      <c r="M202" s="9">
        <v>5385.9</v>
      </c>
      <c r="N202" s="9">
        <f t="shared" si="18"/>
        <v>16157.699999999999</v>
      </c>
      <c r="O202" s="9"/>
      <c r="P202" s="9"/>
      <c r="Q202" s="10" t="s">
        <v>25</v>
      </c>
    </row>
    <row r="203" spans="1:17" s="11" customFormat="1" ht="20.25" x14ac:dyDescent="0.3">
      <c r="A203" s="18" t="s">
        <v>726</v>
      </c>
      <c r="B203" s="19" t="s">
        <v>2337</v>
      </c>
      <c r="C203" s="20">
        <v>10</v>
      </c>
      <c r="D203" s="12" t="s">
        <v>2394</v>
      </c>
      <c r="E203" s="12" t="s">
        <v>2336</v>
      </c>
      <c r="F203" s="18" t="s">
        <v>1779</v>
      </c>
      <c r="G203" s="8"/>
      <c r="H203" s="8">
        <v>3</v>
      </c>
      <c r="I203" s="8"/>
      <c r="J203" s="8"/>
      <c r="K203" s="8">
        <f>+G203+H203-I203+J203</f>
        <v>3</v>
      </c>
      <c r="L203" s="8"/>
      <c r="M203" s="9">
        <v>14542.8</v>
      </c>
      <c r="N203" s="9">
        <f t="shared" si="18"/>
        <v>43628.399999999994</v>
      </c>
      <c r="O203" s="9"/>
      <c r="P203" s="9"/>
      <c r="Q203" s="10" t="s">
        <v>25</v>
      </c>
    </row>
    <row r="204" spans="1:17" s="11" customFormat="1" ht="20.25" x14ac:dyDescent="0.3">
      <c r="A204" s="18" t="s">
        <v>727</v>
      </c>
      <c r="B204" s="23">
        <v>45555</v>
      </c>
      <c r="C204" s="8">
        <v>10</v>
      </c>
      <c r="D204" s="53" t="s">
        <v>2394</v>
      </c>
      <c r="E204" s="12" t="s">
        <v>58</v>
      </c>
      <c r="F204" s="18" t="s">
        <v>1779</v>
      </c>
      <c r="G204" s="8">
        <v>2</v>
      </c>
      <c r="H204" s="8"/>
      <c r="I204" s="8">
        <v>1</v>
      </c>
      <c r="J204" s="8"/>
      <c r="K204" s="8">
        <f>+G204+H204-I204</f>
        <v>1</v>
      </c>
      <c r="L204" s="8"/>
      <c r="M204" s="9">
        <v>4000</v>
      </c>
      <c r="N204" s="9">
        <f t="shared" ref="N204:N230" si="19">+K204*M204</f>
        <v>4000</v>
      </c>
      <c r="O204" s="9"/>
      <c r="P204" s="9"/>
      <c r="Q204" s="10" t="s">
        <v>25</v>
      </c>
    </row>
    <row r="205" spans="1:17" s="11" customFormat="1" ht="20.25" x14ac:dyDescent="0.3">
      <c r="A205" s="18" t="s">
        <v>728</v>
      </c>
      <c r="B205" s="23">
        <v>45597</v>
      </c>
      <c r="C205" s="8">
        <v>10</v>
      </c>
      <c r="D205" s="53" t="s">
        <v>2394</v>
      </c>
      <c r="E205" s="12" t="s">
        <v>1416</v>
      </c>
      <c r="F205" s="18" t="s">
        <v>1779</v>
      </c>
      <c r="G205" s="8">
        <v>3</v>
      </c>
      <c r="H205" s="8">
        <v>3</v>
      </c>
      <c r="I205" s="8">
        <v>1</v>
      </c>
      <c r="J205" s="8"/>
      <c r="K205" s="8">
        <f>+G205+H205-I205+J205</f>
        <v>5</v>
      </c>
      <c r="L205" s="8"/>
      <c r="M205" s="9">
        <v>4298.74</v>
      </c>
      <c r="N205" s="9">
        <f t="shared" si="19"/>
        <v>21493.699999999997</v>
      </c>
      <c r="O205" s="9"/>
      <c r="P205" s="9"/>
      <c r="Q205" s="10" t="s">
        <v>25</v>
      </c>
    </row>
    <row r="206" spans="1:17" s="11" customFormat="1" ht="20.25" x14ac:dyDescent="0.3">
      <c r="A206" s="18" t="s">
        <v>729</v>
      </c>
      <c r="B206" s="23">
        <v>45414</v>
      </c>
      <c r="C206" s="8">
        <v>10</v>
      </c>
      <c r="D206" s="53" t="s">
        <v>2394</v>
      </c>
      <c r="E206" s="12" t="s">
        <v>56</v>
      </c>
      <c r="F206" s="18" t="s">
        <v>1779</v>
      </c>
      <c r="G206" s="8">
        <v>3</v>
      </c>
      <c r="H206" s="8"/>
      <c r="I206" s="8"/>
      <c r="J206" s="8"/>
      <c r="K206" s="8">
        <f>+G206+H206-I206</f>
        <v>3</v>
      </c>
      <c r="L206" s="8"/>
      <c r="M206" s="9">
        <v>5353</v>
      </c>
      <c r="N206" s="9">
        <f t="shared" si="19"/>
        <v>16059</v>
      </c>
      <c r="O206" s="9"/>
      <c r="P206" s="9"/>
      <c r="Q206" s="10" t="s">
        <v>25</v>
      </c>
    </row>
    <row r="207" spans="1:17" s="11" customFormat="1" ht="20.25" x14ac:dyDescent="0.3">
      <c r="A207" s="18" t="s">
        <v>730</v>
      </c>
      <c r="B207" s="23"/>
      <c r="C207" s="8"/>
      <c r="D207" s="53" t="s">
        <v>2394</v>
      </c>
      <c r="E207" s="12" t="s">
        <v>57</v>
      </c>
      <c r="F207" s="18" t="s">
        <v>1779</v>
      </c>
      <c r="G207" s="8">
        <v>8</v>
      </c>
      <c r="H207" s="8"/>
      <c r="I207" s="8"/>
      <c r="J207" s="8"/>
      <c r="K207" s="8">
        <f>+G207+H207-I207</f>
        <v>8</v>
      </c>
      <c r="L207" s="8"/>
      <c r="M207" s="9">
        <v>541.70000000000005</v>
      </c>
      <c r="N207" s="9">
        <f t="shared" si="19"/>
        <v>4333.6000000000004</v>
      </c>
      <c r="O207" s="9"/>
      <c r="P207" s="9"/>
      <c r="Q207" s="10" t="s">
        <v>25</v>
      </c>
    </row>
    <row r="208" spans="1:17" s="11" customFormat="1" ht="39.950000000000003" customHeight="1" x14ac:dyDescent="0.3">
      <c r="A208" s="18" t="s">
        <v>731</v>
      </c>
      <c r="B208" s="23"/>
      <c r="C208" s="8"/>
      <c r="D208" s="53" t="s">
        <v>2394</v>
      </c>
      <c r="E208" s="12" t="s">
        <v>1415</v>
      </c>
      <c r="F208" s="18" t="s">
        <v>1779</v>
      </c>
      <c r="G208" s="8">
        <v>2</v>
      </c>
      <c r="H208" s="8">
        <v>0</v>
      </c>
      <c r="I208" s="8">
        <v>1</v>
      </c>
      <c r="J208" s="8"/>
      <c r="K208" s="8">
        <f>+G208+H208-I208+J208</f>
        <v>1</v>
      </c>
      <c r="L208" s="8"/>
      <c r="M208" s="9">
        <v>279.66000000000003</v>
      </c>
      <c r="N208" s="9">
        <f t="shared" si="19"/>
        <v>279.66000000000003</v>
      </c>
      <c r="O208" s="9"/>
      <c r="P208" s="9"/>
      <c r="Q208" s="10" t="s">
        <v>25</v>
      </c>
    </row>
    <row r="209" spans="1:17" s="11" customFormat="1" ht="20.25" x14ac:dyDescent="0.3">
      <c r="A209" s="18" t="s">
        <v>732</v>
      </c>
      <c r="B209" s="23">
        <v>45111</v>
      </c>
      <c r="C209" s="8"/>
      <c r="D209" s="53" t="s">
        <v>2394</v>
      </c>
      <c r="E209" s="12" t="s">
        <v>1306</v>
      </c>
      <c r="F209" s="18" t="s">
        <v>1779</v>
      </c>
      <c r="G209" s="8">
        <v>16</v>
      </c>
      <c r="H209" s="8">
        <v>20</v>
      </c>
      <c r="I209" s="8">
        <f>4+1+3</f>
        <v>8</v>
      </c>
      <c r="J209" s="8"/>
      <c r="K209" s="8">
        <f>+G209+H209-I209+J209</f>
        <v>28</v>
      </c>
      <c r="L209" s="8"/>
      <c r="M209" s="9">
        <v>39.409999999999997</v>
      </c>
      <c r="N209" s="9">
        <f t="shared" si="19"/>
        <v>1103.48</v>
      </c>
      <c r="O209" s="9"/>
      <c r="P209" s="9"/>
      <c r="Q209" s="10" t="s">
        <v>25</v>
      </c>
    </row>
    <row r="210" spans="1:17" s="11" customFormat="1" ht="40.5" x14ac:dyDescent="0.3">
      <c r="A210" s="18" t="s">
        <v>733</v>
      </c>
      <c r="B210" s="19" t="s">
        <v>2303</v>
      </c>
      <c r="C210" s="20"/>
      <c r="D210" s="53" t="s">
        <v>2394</v>
      </c>
      <c r="E210" s="12" t="s">
        <v>2378</v>
      </c>
      <c r="F210" s="18" t="s">
        <v>1779</v>
      </c>
      <c r="G210" s="8"/>
      <c r="H210" s="8">
        <v>20</v>
      </c>
      <c r="I210" s="8"/>
      <c r="J210" s="8"/>
      <c r="K210" s="8">
        <f>+G210+H210-I210+J210</f>
        <v>20</v>
      </c>
      <c r="L210" s="8"/>
      <c r="M210" s="9">
        <v>42.4328</v>
      </c>
      <c r="N210" s="9">
        <f t="shared" si="19"/>
        <v>848.65599999999995</v>
      </c>
      <c r="O210" s="9"/>
      <c r="P210" s="9"/>
      <c r="Q210" s="10" t="s">
        <v>25</v>
      </c>
    </row>
    <row r="211" spans="1:17" s="11" customFormat="1" ht="40.5" x14ac:dyDescent="0.3">
      <c r="A211" s="18" t="s">
        <v>734</v>
      </c>
      <c r="B211" s="19" t="s">
        <v>2303</v>
      </c>
      <c r="C211" s="20"/>
      <c r="D211" s="53" t="s">
        <v>2479</v>
      </c>
      <c r="E211" s="12" t="s">
        <v>2498</v>
      </c>
      <c r="F211" s="21" t="s">
        <v>2496</v>
      </c>
      <c r="G211" s="8"/>
      <c r="H211" s="8">
        <v>50</v>
      </c>
      <c r="I211" s="8"/>
      <c r="J211" s="8"/>
      <c r="K211" s="8">
        <f>+G211+H211-I211+J211</f>
        <v>50</v>
      </c>
      <c r="L211" s="8"/>
      <c r="M211" s="9">
        <v>40.757199999999997</v>
      </c>
      <c r="N211" s="9">
        <f t="shared" si="19"/>
        <v>2037.86</v>
      </c>
      <c r="O211" s="9"/>
      <c r="P211" s="9"/>
      <c r="Q211" s="10" t="s">
        <v>25</v>
      </c>
    </row>
    <row r="212" spans="1:17" s="11" customFormat="1" ht="20.25" x14ac:dyDescent="0.3">
      <c r="A212" s="18" t="s">
        <v>735</v>
      </c>
      <c r="B212" s="23">
        <v>45604</v>
      </c>
      <c r="C212" s="8">
        <v>10</v>
      </c>
      <c r="D212" s="25" t="s">
        <v>2385</v>
      </c>
      <c r="E212" s="12" t="s">
        <v>312</v>
      </c>
      <c r="F212" s="18" t="s">
        <v>1779</v>
      </c>
      <c r="G212" s="8">
        <v>4</v>
      </c>
      <c r="H212" s="8"/>
      <c r="I212" s="8">
        <v>1</v>
      </c>
      <c r="J212" s="8"/>
      <c r="K212" s="8">
        <f>+G212+H212+-I212</f>
        <v>3</v>
      </c>
      <c r="L212" s="8"/>
      <c r="M212" s="9">
        <v>850</v>
      </c>
      <c r="N212" s="9">
        <f t="shared" si="19"/>
        <v>2550</v>
      </c>
      <c r="O212" s="9"/>
      <c r="P212" s="9"/>
      <c r="Q212" s="10" t="s">
        <v>297</v>
      </c>
    </row>
    <row r="213" spans="1:17" s="11" customFormat="1" ht="39.950000000000003" customHeight="1" x14ac:dyDescent="0.3">
      <c r="A213" s="18" t="s">
        <v>736</v>
      </c>
      <c r="B213" s="23">
        <v>45621</v>
      </c>
      <c r="C213" s="8"/>
      <c r="D213" s="25" t="s">
        <v>2442</v>
      </c>
      <c r="E213" s="12" t="s">
        <v>1461</v>
      </c>
      <c r="F213" s="18" t="s">
        <v>1779</v>
      </c>
      <c r="G213" s="8"/>
      <c r="H213" s="8">
        <v>10</v>
      </c>
      <c r="I213" s="8">
        <v>10</v>
      </c>
      <c r="J213" s="8"/>
      <c r="K213" s="8">
        <f t="shared" ref="K213:K219" si="20">+G213+H213-I213+J213</f>
        <v>0</v>
      </c>
      <c r="L213" s="8"/>
      <c r="M213" s="9">
        <v>1393.88</v>
      </c>
      <c r="N213" s="9">
        <f t="shared" si="19"/>
        <v>0</v>
      </c>
      <c r="O213" s="9"/>
      <c r="P213" s="9"/>
      <c r="Q213" s="10" t="s">
        <v>1478</v>
      </c>
    </row>
    <row r="214" spans="1:17" s="11" customFormat="1" ht="39.950000000000003" customHeight="1" x14ac:dyDescent="0.3">
      <c r="A214" s="18" t="s">
        <v>1552</v>
      </c>
      <c r="B214" s="23">
        <v>45111</v>
      </c>
      <c r="C214" s="8"/>
      <c r="D214" s="25" t="s">
        <v>2442</v>
      </c>
      <c r="E214" s="12" t="s">
        <v>1463</v>
      </c>
      <c r="F214" s="18" t="s">
        <v>1779</v>
      </c>
      <c r="G214" s="8"/>
      <c r="H214" s="8">
        <v>10</v>
      </c>
      <c r="I214" s="8">
        <v>10</v>
      </c>
      <c r="J214" s="8"/>
      <c r="K214" s="8">
        <f t="shared" si="20"/>
        <v>0</v>
      </c>
      <c r="L214" s="8"/>
      <c r="M214" s="9">
        <v>1393.88</v>
      </c>
      <c r="N214" s="9">
        <f t="shared" si="19"/>
        <v>0</v>
      </c>
      <c r="O214" s="9"/>
      <c r="P214" s="9"/>
      <c r="Q214" s="10" t="s">
        <v>1478</v>
      </c>
    </row>
    <row r="215" spans="1:17" s="11" customFormat="1" ht="39.950000000000003" customHeight="1" x14ac:dyDescent="0.3">
      <c r="A215" s="18" t="s">
        <v>737</v>
      </c>
      <c r="B215" s="23">
        <v>45604</v>
      </c>
      <c r="C215" s="8"/>
      <c r="D215" s="25" t="s">
        <v>2442</v>
      </c>
      <c r="E215" s="12" t="s">
        <v>1462</v>
      </c>
      <c r="F215" s="18" t="s">
        <v>1779</v>
      </c>
      <c r="G215" s="8"/>
      <c r="H215" s="8">
        <v>10</v>
      </c>
      <c r="I215" s="8">
        <v>10</v>
      </c>
      <c r="J215" s="8"/>
      <c r="K215" s="8">
        <f t="shared" si="20"/>
        <v>0</v>
      </c>
      <c r="L215" s="8"/>
      <c r="M215" s="9">
        <v>1473.53</v>
      </c>
      <c r="N215" s="9">
        <f t="shared" si="19"/>
        <v>0</v>
      </c>
      <c r="O215" s="9"/>
      <c r="P215" s="9"/>
      <c r="Q215" s="10" t="s">
        <v>1478</v>
      </c>
    </row>
    <row r="216" spans="1:17" s="11" customFormat="1" ht="40.5" x14ac:dyDescent="0.3">
      <c r="A216" s="18" t="s">
        <v>738</v>
      </c>
      <c r="B216" s="23">
        <v>45604</v>
      </c>
      <c r="C216" s="8"/>
      <c r="D216" s="25" t="s">
        <v>2442</v>
      </c>
      <c r="E216" s="12" t="s">
        <v>1456</v>
      </c>
      <c r="F216" s="18" t="s">
        <v>1779</v>
      </c>
      <c r="G216" s="8"/>
      <c r="H216" s="8">
        <v>57</v>
      </c>
      <c r="I216" s="8">
        <v>57</v>
      </c>
      <c r="J216" s="8"/>
      <c r="K216" s="8">
        <f t="shared" si="20"/>
        <v>0</v>
      </c>
      <c r="L216" s="8"/>
      <c r="M216" s="9">
        <v>1947</v>
      </c>
      <c r="N216" s="9">
        <f t="shared" si="19"/>
        <v>0</v>
      </c>
      <c r="O216" s="9"/>
      <c r="P216" s="9"/>
      <c r="Q216" s="10" t="s">
        <v>1478</v>
      </c>
    </row>
    <row r="217" spans="1:17" s="11" customFormat="1" ht="40.5" x14ac:dyDescent="0.3">
      <c r="A217" s="18" t="s">
        <v>739</v>
      </c>
      <c r="B217" s="23">
        <v>44851</v>
      </c>
      <c r="C217" s="8"/>
      <c r="D217" s="25" t="s">
        <v>2442</v>
      </c>
      <c r="E217" s="12" t="s">
        <v>1458</v>
      </c>
      <c r="F217" s="18" t="s">
        <v>1779</v>
      </c>
      <c r="G217" s="8"/>
      <c r="H217" s="8">
        <v>57</v>
      </c>
      <c r="I217" s="8">
        <v>57</v>
      </c>
      <c r="J217" s="8"/>
      <c r="K217" s="8">
        <f t="shared" si="20"/>
        <v>0</v>
      </c>
      <c r="L217" s="8"/>
      <c r="M217" s="9">
        <v>2006</v>
      </c>
      <c r="N217" s="9">
        <f t="shared" si="19"/>
        <v>0</v>
      </c>
      <c r="O217" s="9"/>
      <c r="P217" s="9"/>
      <c r="Q217" s="10" t="s">
        <v>1478</v>
      </c>
    </row>
    <row r="218" spans="1:17" s="11" customFormat="1" ht="20.25" x14ac:dyDescent="0.3">
      <c r="A218" s="18" t="s">
        <v>740</v>
      </c>
      <c r="B218" s="23">
        <v>45604</v>
      </c>
      <c r="C218" s="8"/>
      <c r="D218" s="25" t="s">
        <v>2442</v>
      </c>
      <c r="E218" s="12" t="s">
        <v>1457</v>
      </c>
      <c r="F218" s="18" t="s">
        <v>1779</v>
      </c>
      <c r="G218" s="8"/>
      <c r="H218" s="8">
        <v>49</v>
      </c>
      <c r="I218" s="8">
        <v>49</v>
      </c>
      <c r="J218" s="8"/>
      <c r="K218" s="8">
        <f t="shared" si="20"/>
        <v>0</v>
      </c>
      <c r="L218" s="8"/>
      <c r="M218" s="9">
        <v>1947</v>
      </c>
      <c r="N218" s="9">
        <f t="shared" si="19"/>
        <v>0</v>
      </c>
      <c r="O218" s="9"/>
      <c r="P218" s="9"/>
      <c r="Q218" s="10" t="s">
        <v>1478</v>
      </c>
    </row>
    <row r="219" spans="1:17" s="11" customFormat="1" ht="20.25" x14ac:dyDescent="0.3">
      <c r="A219" s="18" t="s">
        <v>741</v>
      </c>
      <c r="B219" s="23">
        <v>45111</v>
      </c>
      <c r="C219" s="8"/>
      <c r="D219" s="25" t="s">
        <v>2442</v>
      </c>
      <c r="E219" s="12" t="s">
        <v>1455</v>
      </c>
      <c r="F219" s="18" t="s">
        <v>1779</v>
      </c>
      <c r="G219" s="8"/>
      <c r="H219" s="8">
        <v>49</v>
      </c>
      <c r="I219" s="8">
        <v>49</v>
      </c>
      <c r="J219" s="8"/>
      <c r="K219" s="8">
        <f t="shared" si="20"/>
        <v>0</v>
      </c>
      <c r="L219" s="8"/>
      <c r="M219" s="9">
        <v>2006</v>
      </c>
      <c r="N219" s="9">
        <f t="shared" si="19"/>
        <v>0</v>
      </c>
      <c r="O219" s="9"/>
      <c r="P219" s="9"/>
      <c r="Q219" s="10" t="s">
        <v>1478</v>
      </c>
    </row>
    <row r="220" spans="1:17" s="11" customFormat="1" ht="60.75" x14ac:dyDescent="0.3">
      <c r="A220" s="18" t="s">
        <v>742</v>
      </c>
      <c r="B220" s="23">
        <v>45673</v>
      </c>
      <c r="C220" s="8"/>
      <c r="D220" s="25" t="s">
        <v>2442</v>
      </c>
      <c r="E220" s="12" t="s">
        <v>1802</v>
      </c>
      <c r="F220" s="18" t="s">
        <v>1779</v>
      </c>
      <c r="G220" s="8"/>
      <c r="H220" s="8">
        <v>1</v>
      </c>
      <c r="I220" s="8">
        <v>1</v>
      </c>
      <c r="J220" s="8"/>
      <c r="K220" s="8">
        <f>+G220+H220+-I220</f>
        <v>0</v>
      </c>
      <c r="L220" s="8"/>
      <c r="M220" s="9"/>
      <c r="N220" s="9">
        <f t="shared" si="19"/>
        <v>0</v>
      </c>
      <c r="O220" s="9"/>
      <c r="P220" s="9"/>
      <c r="Q220" s="10" t="s">
        <v>520</v>
      </c>
    </row>
    <row r="221" spans="1:17" s="11" customFormat="1" ht="60.75" x14ac:dyDescent="0.3">
      <c r="A221" s="18" t="s">
        <v>743</v>
      </c>
      <c r="B221" s="23">
        <v>45673</v>
      </c>
      <c r="C221" s="8"/>
      <c r="D221" s="25" t="s">
        <v>2442</v>
      </c>
      <c r="E221" s="12" t="s">
        <v>1801</v>
      </c>
      <c r="F221" s="18" t="s">
        <v>1779</v>
      </c>
      <c r="G221" s="8"/>
      <c r="H221" s="8">
        <v>2</v>
      </c>
      <c r="I221" s="8">
        <v>2</v>
      </c>
      <c r="J221" s="8"/>
      <c r="K221" s="8">
        <f>+G221+H221+-I221</f>
        <v>0</v>
      </c>
      <c r="L221" s="8"/>
      <c r="M221" s="9"/>
      <c r="N221" s="9">
        <f t="shared" si="19"/>
        <v>0</v>
      </c>
      <c r="O221" s="9"/>
      <c r="P221" s="9">
        <f>+K221*O221</f>
        <v>0</v>
      </c>
      <c r="Q221" s="10" t="s">
        <v>520</v>
      </c>
    </row>
    <row r="222" spans="1:17" s="11" customFormat="1" ht="20.25" x14ac:dyDescent="0.3">
      <c r="A222" s="18" t="s">
        <v>744</v>
      </c>
      <c r="B222" s="23">
        <v>45111</v>
      </c>
      <c r="C222" s="8"/>
      <c r="D222" s="25" t="s">
        <v>2442</v>
      </c>
      <c r="E222" s="12" t="s">
        <v>1466</v>
      </c>
      <c r="F222" s="18" t="s">
        <v>1779</v>
      </c>
      <c r="G222" s="8"/>
      <c r="H222" s="8">
        <v>114</v>
      </c>
      <c r="I222" s="8">
        <v>114</v>
      </c>
      <c r="J222" s="8"/>
      <c r="K222" s="8">
        <f t="shared" ref="K222:K229" si="21">+G222+H222-I222+J222</f>
        <v>0</v>
      </c>
      <c r="L222" s="8"/>
      <c r="M222" s="9">
        <v>406.22</v>
      </c>
      <c r="N222" s="9">
        <f t="shared" si="19"/>
        <v>0</v>
      </c>
      <c r="O222" s="9"/>
      <c r="P222" s="9"/>
      <c r="Q222" s="10" t="s">
        <v>1478</v>
      </c>
    </row>
    <row r="223" spans="1:17" s="11" customFormat="1" ht="20.25" x14ac:dyDescent="0.3">
      <c r="A223" s="18" t="s">
        <v>745</v>
      </c>
      <c r="B223" s="23">
        <v>45604</v>
      </c>
      <c r="C223" s="8"/>
      <c r="D223" s="25" t="s">
        <v>2442</v>
      </c>
      <c r="E223" s="12" t="s">
        <v>1454</v>
      </c>
      <c r="F223" s="18" t="s">
        <v>1779</v>
      </c>
      <c r="G223" s="8"/>
      <c r="H223" s="8">
        <v>57</v>
      </c>
      <c r="I223" s="8">
        <v>57</v>
      </c>
      <c r="J223" s="8"/>
      <c r="K223" s="8">
        <f t="shared" si="21"/>
        <v>0</v>
      </c>
      <c r="L223" s="8"/>
      <c r="M223" s="9">
        <v>448.4</v>
      </c>
      <c r="N223" s="9">
        <f t="shared" si="19"/>
        <v>0</v>
      </c>
      <c r="O223" s="9"/>
      <c r="P223" s="9"/>
      <c r="Q223" s="10" t="s">
        <v>1478</v>
      </c>
    </row>
    <row r="224" spans="1:17" s="11" customFormat="1" ht="40.5" x14ac:dyDescent="0.3">
      <c r="A224" s="18" t="s">
        <v>746</v>
      </c>
      <c r="B224" s="19" t="s">
        <v>2305</v>
      </c>
      <c r="C224" s="20">
        <v>30</v>
      </c>
      <c r="D224" s="53" t="s">
        <v>2394</v>
      </c>
      <c r="E224" s="12" t="s">
        <v>2314</v>
      </c>
      <c r="F224" s="18" t="s">
        <v>1779</v>
      </c>
      <c r="G224" s="8"/>
      <c r="H224" s="8">
        <v>50</v>
      </c>
      <c r="I224" s="8"/>
      <c r="J224" s="8"/>
      <c r="K224" s="8">
        <f t="shared" si="21"/>
        <v>50</v>
      </c>
      <c r="L224" s="8"/>
      <c r="M224" s="9">
        <v>74.34</v>
      </c>
      <c r="N224" s="9">
        <f t="shared" si="19"/>
        <v>3717</v>
      </c>
      <c r="O224" s="9"/>
      <c r="P224" s="9"/>
      <c r="Q224" s="10" t="s">
        <v>25</v>
      </c>
    </row>
    <row r="225" spans="1:17" s="11" customFormat="1" ht="40.5" x14ac:dyDescent="0.3">
      <c r="A225" s="18" t="s">
        <v>747</v>
      </c>
      <c r="B225" s="19">
        <v>45783</v>
      </c>
      <c r="C225" s="20"/>
      <c r="D225" s="53" t="s">
        <v>2320</v>
      </c>
      <c r="E225" s="12" t="s">
        <v>2403</v>
      </c>
      <c r="F225" s="21" t="s">
        <v>1779</v>
      </c>
      <c r="G225" s="8"/>
      <c r="H225" s="8">
        <v>3</v>
      </c>
      <c r="I225" s="8"/>
      <c r="J225" s="8"/>
      <c r="K225" s="8">
        <f t="shared" si="21"/>
        <v>3</v>
      </c>
      <c r="L225" s="8"/>
      <c r="M225" s="9">
        <v>468.46</v>
      </c>
      <c r="N225" s="9">
        <f t="shared" si="19"/>
        <v>1405.3799999999999</v>
      </c>
      <c r="O225" s="9"/>
      <c r="P225" s="9"/>
      <c r="Q225" s="10" t="s">
        <v>159</v>
      </c>
    </row>
    <row r="226" spans="1:17" s="11" customFormat="1" ht="40.5" x14ac:dyDescent="0.3">
      <c r="A226" s="18" t="s">
        <v>748</v>
      </c>
      <c r="B226" s="19">
        <v>45783</v>
      </c>
      <c r="C226" s="20"/>
      <c r="D226" s="53" t="s">
        <v>2320</v>
      </c>
      <c r="E226" s="12" t="s">
        <v>2404</v>
      </c>
      <c r="F226" s="21" t="s">
        <v>1779</v>
      </c>
      <c r="G226" s="8"/>
      <c r="H226" s="8">
        <v>3</v>
      </c>
      <c r="I226" s="8"/>
      <c r="J226" s="8"/>
      <c r="K226" s="8">
        <f t="shared" si="21"/>
        <v>3</v>
      </c>
      <c r="L226" s="8"/>
      <c r="M226" s="9">
        <v>665.52</v>
      </c>
      <c r="N226" s="9">
        <f t="shared" si="19"/>
        <v>1996.56</v>
      </c>
      <c r="O226" s="9"/>
      <c r="P226" s="9"/>
      <c r="Q226" s="10" t="s">
        <v>159</v>
      </c>
    </row>
    <row r="227" spans="1:17" s="11" customFormat="1" ht="40.5" x14ac:dyDescent="0.3">
      <c r="A227" s="18" t="s">
        <v>749</v>
      </c>
      <c r="B227" s="19">
        <v>45814</v>
      </c>
      <c r="C227" s="20"/>
      <c r="D227" s="53" t="s">
        <v>2320</v>
      </c>
      <c r="E227" s="12" t="s">
        <v>2192</v>
      </c>
      <c r="F227" s="18" t="s">
        <v>1779</v>
      </c>
      <c r="G227" s="8"/>
      <c r="H227" s="8">
        <v>3</v>
      </c>
      <c r="I227" s="8"/>
      <c r="J227" s="8"/>
      <c r="K227" s="8">
        <f t="shared" si="21"/>
        <v>3</v>
      </c>
      <c r="L227" s="8"/>
      <c r="M227" s="9">
        <v>820</v>
      </c>
      <c r="N227" s="9">
        <f t="shared" si="19"/>
        <v>2460</v>
      </c>
      <c r="O227" s="9"/>
      <c r="P227" s="9"/>
      <c r="Q227" s="10" t="s">
        <v>235</v>
      </c>
    </row>
    <row r="228" spans="1:17" s="11" customFormat="1" ht="40.5" x14ac:dyDescent="0.3">
      <c r="A228" s="18" t="s">
        <v>750</v>
      </c>
      <c r="B228" s="23">
        <v>44862</v>
      </c>
      <c r="C228" s="8"/>
      <c r="D228" s="53" t="s">
        <v>2320</v>
      </c>
      <c r="E228" s="12" t="s">
        <v>165</v>
      </c>
      <c r="F228" s="18" t="s">
        <v>1779</v>
      </c>
      <c r="G228" s="8">
        <v>3</v>
      </c>
      <c r="H228" s="8"/>
      <c r="I228" s="8">
        <f>1+1</f>
        <v>2</v>
      </c>
      <c r="J228" s="8"/>
      <c r="K228" s="8">
        <f t="shared" si="21"/>
        <v>1</v>
      </c>
      <c r="L228" s="8"/>
      <c r="M228" s="9">
        <v>1123.3800000000001</v>
      </c>
      <c r="N228" s="9">
        <f t="shared" si="19"/>
        <v>1123.3800000000001</v>
      </c>
      <c r="O228" s="9"/>
      <c r="P228" s="9"/>
      <c r="Q228" s="10" t="s">
        <v>159</v>
      </c>
    </row>
    <row r="229" spans="1:17" s="11" customFormat="1" ht="40.5" x14ac:dyDescent="0.3">
      <c r="A229" s="18" t="s">
        <v>751</v>
      </c>
      <c r="B229" s="23">
        <v>45604</v>
      </c>
      <c r="C229" s="8"/>
      <c r="D229" s="53" t="s">
        <v>2320</v>
      </c>
      <c r="E229" s="12" t="s">
        <v>1181</v>
      </c>
      <c r="F229" s="18" t="s">
        <v>1779</v>
      </c>
      <c r="G229" s="8">
        <v>2</v>
      </c>
      <c r="H229" s="8"/>
      <c r="I229" s="8">
        <f>1+1</f>
        <v>2</v>
      </c>
      <c r="J229" s="8"/>
      <c r="K229" s="8">
        <f t="shared" si="21"/>
        <v>0</v>
      </c>
      <c r="L229" s="8"/>
      <c r="M229" s="9">
        <v>795.82</v>
      </c>
      <c r="N229" s="9">
        <f t="shared" si="19"/>
        <v>0</v>
      </c>
      <c r="O229" s="9"/>
      <c r="P229" s="9"/>
      <c r="Q229" s="10" t="s">
        <v>159</v>
      </c>
    </row>
    <row r="230" spans="1:17" s="11" customFormat="1" ht="39.950000000000003" customHeight="1" x14ac:dyDescent="0.3">
      <c r="A230" s="18" t="s">
        <v>752</v>
      </c>
      <c r="B230" s="23">
        <v>45469</v>
      </c>
      <c r="C230" s="8"/>
      <c r="D230" s="25" t="s">
        <v>2320</v>
      </c>
      <c r="E230" s="12" t="s">
        <v>1188</v>
      </c>
      <c r="F230" s="18" t="s">
        <v>1779</v>
      </c>
      <c r="G230" s="8">
        <v>286</v>
      </c>
      <c r="H230" s="8"/>
      <c r="I230" s="8">
        <f>110+58+2</f>
        <v>170</v>
      </c>
      <c r="J230" s="8"/>
      <c r="K230" s="8">
        <f>+G230+H230+-I230+J230</f>
        <v>116</v>
      </c>
      <c r="L230" s="8"/>
      <c r="M230" s="9"/>
      <c r="N230" s="9">
        <f t="shared" si="19"/>
        <v>0</v>
      </c>
      <c r="O230" s="9">
        <v>416</v>
      </c>
      <c r="P230" s="9">
        <f>+K230*O230</f>
        <v>48256</v>
      </c>
      <c r="Q230" s="10" t="s">
        <v>140</v>
      </c>
    </row>
    <row r="231" spans="1:17" s="11" customFormat="1" ht="20.25" x14ac:dyDescent="0.3">
      <c r="A231" s="18" t="s">
        <v>753</v>
      </c>
      <c r="B231" s="19">
        <v>45828</v>
      </c>
      <c r="C231" s="20"/>
      <c r="D231" s="53" t="s">
        <v>2468</v>
      </c>
      <c r="E231" s="12" t="s">
        <v>2203</v>
      </c>
      <c r="F231" s="21" t="s">
        <v>1779</v>
      </c>
      <c r="G231" s="8"/>
      <c r="H231" s="8">
        <v>15</v>
      </c>
      <c r="I231" s="8">
        <v>15</v>
      </c>
      <c r="J231" s="8"/>
      <c r="K231" s="8">
        <f>+G231+H231-I231+J231</f>
        <v>0</v>
      </c>
      <c r="L231" s="8"/>
      <c r="M231" s="9">
        <v>7268</v>
      </c>
      <c r="N231" s="9"/>
      <c r="O231" s="9"/>
      <c r="P231" s="9"/>
      <c r="Q231" s="10" t="s">
        <v>520</v>
      </c>
    </row>
    <row r="232" spans="1:17" s="11" customFormat="1" ht="40.5" x14ac:dyDescent="0.3">
      <c r="A232" s="18" t="s">
        <v>754</v>
      </c>
      <c r="B232" s="23">
        <v>45111</v>
      </c>
      <c r="C232" s="8"/>
      <c r="D232" s="25" t="s">
        <v>2468</v>
      </c>
      <c r="E232" s="12" t="s">
        <v>166</v>
      </c>
      <c r="F232" s="18" t="s">
        <v>1779</v>
      </c>
      <c r="G232" s="8">
        <v>1</v>
      </c>
      <c r="H232" s="8"/>
      <c r="I232" s="8"/>
      <c r="J232" s="8"/>
      <c r="K232" s="8">
        <f>+G232+H232+-I232</f>
        <v>1</v>
      </c>
      <c r="L232" s="8"/>
      <c r="M232" s="9">
        <v>3500</v>
      </c>
      <c r="N232" s="9">
        <f>+K232*M232</f>
        <v>3500</v>
      </c>
      <c r="O232" s="9"/>
      <c r="P232" s="9"/>
      <c r="Q232" s="10" t="s">
        <v>159</v>
      </c>
    </row>
    <row r="233" spans="1:17" s="11" customFormat="1" ht="39.950000000000003" customHeight="1" x14ac:dyDescent="0.3">
      <c r="A233" s="18" t="s">
        <v>755</v>
      </c>
      <c r="B233" s="23">
        <v>44678</v>
      </c>
      <c r="C233" s="8"/>
      <c r="D233" s="25" t="s">
        <v>2385</v>
      </c>
      <c r="E233" s="12" t="s">
        <v>313</v>
      </c>
      <c r="F233" s="18" t="s">
        <v>1779</v>
      </c>
      <c r="G233" s="8">
        <v>10</v>
      </c>
      <c r="H233" s="8"/>
      <c r="I233" s="8">
        <f>3+3</f>
        <v>6</v>
      </c>
      <c r="J233" s="8"/>
      <c r="K233" s="8">
        <f>+G233+H233+-I233</f>
        <v>4</v>
      </c>
      <c r="L233" s="8"/>
      <c r="M233" s="9">
        <v>208.86</v>
      </c>
      <c r="N233" s="9">
        <f>+K233*M233</f>
        <v>835.44</v>
      </c>
      <c r="O233" s="9"/>
      <c r="P233" s="9"/>
      <c r="Q233" s="10" t="s">
        <v>297</v>
      </c>
    </row>
    <row r="234" spans="1:17" s="11" customFormat="1" ht="39.950000000000003" customHeight="1" x14ac:dyDescent="0.3">
      <c r="A234" s="18" t="s">
        <v>756</v>
      </c>
      <c r="B234" s="23">
        <v>44852</v>
      </c>
      <c r="C234" s="8"/>
      <c r="D234" s="25" t="s">
        <v>2385</v>
      </c>
      <c r="E234" s="12" t="s">
        <v>314</v>
      </c>
      <c r="F234" s="18" t="s">
        <v>1779</v>
      </c>
      <c r="G234" s="8">
        <f>8-2</f>
        <v>6</v>
      </c>
      <c r="H234" s="8"/>
      <c r="I234" s="8"/>
      <c r="J234" s="8"/>
      <c r="K234" s="8">
        <f>+G234+H234+-I234</f>
        <v>6</v>
      </c>
      <c r="L234" s="8"/>
      <c r="M234" s="9">
        <v>525</v>
      </c>
      <c r="N234" s="9">
        <f>+K234*M234</f>
        <v>3150</v>
      </c>
      <c r="O234" s="9"/>
      <c r="P234" s="9"/>
      <c r="Q234" s="10" t="s">
        <v>297</v>
      </c>
    </row>
    <row r="235" spans="1:17" s="11" customFormat="1" ht="39.950000000000003" customHeight="1" x14ac:dyDescent="0.3">
      <c r="A235" s="18" t="s">
        <v>757</v>
      </c>
      <c r="B235" s="23" t="s">
        <v>4</v>
      </c>
      <c r="C235" s="8">
        <v>30</v>
      </c>
      <c r="D235" s="25" t="s">
        <v>2318</v>
      </c>
      <c r="E235" s="12" t="s">
        <v>1407</v>
      </c>
      <c r="F235" s="18" t="s">
        <v>1779</v>
      </c>
      <c r="G235" s="8"/>
      <c r="H235" s="8">
        <v>5</v>
      </c>
      <c r="I235" s="8">
        <v>5</v>
      </c>
      <c r="J235" s="8"/>
      <c r="K235" s="8">
        <f>+G235+H235-I235+J235</f>
        <v>0</v>
      </c>
      <c r="L235" s="8"/>
      <c r="M235" s="9">
        <v>6036</v>
      </c>
      <c r="N235" s="9">
        <f>+K235*M235</f>
        <v>0</v>
      </c>
      <c r="O235" s="9"/>
      <c r="P235" s="9"/>
      <c r="Q235" s="10" t="s">
        <v>1479</v>
      </c>
    </row>
    <row r="236" spans="1:17" s="11" customFormat="1" ht="39.950000000000003" customHeight="1" x14ac:dyDescent="0.3">
      <c r="A236" s="18" t="s">
        <v>758</v>
      </c>
      <c r="B236" s="23"/>
      <c r="C236" s="8"/>
      <c r="D236" s="25" t="s">
        <v>2320</v>
      </c>
      <c r="E236" s="12" t="s">
        <v>141</v>
      </c>
      <c r="F236" s="18" t="s">
        <v>1779</v>
      </c>
      <c r="G236" s="8">
        <v>5</v>
      </c>
      <c r="H236" s="8"/>
      <c r="I236" s="8"/>
      <c r="J236" s="8"/>
      <c r="K236" s="8">
        <f>+G236+H236-I236</f>
        <v>5</v>
      </c>
      <c r="L236" s="8"/>
      <c r="M236" s="9">
        <v>119</v>
      </c>
      <c r="N236" s="9">
        <f>+K236*M236</f>
        <v>595</v>
      </c>
      <c r="O236" s="9"/>
      <c r="P236" s="9"/>
      <c r="Q236" s="10" t="s">
        <v>140</v>
      </c>
    </row>
    <row r="237" spans="1:17" s="11" customFormat="1" ht="39.950000000000003" customHeight="1" x14ac:dyDescent="0.3">
      <c r="A237" s="18" t="s">
        <v>759</v>
      </c>
      <c r="B237" s="23" t="s">
        <v>1581</v>
      </c>
      <c r="C237" s="8"/>
      <c r="D237" s="25" t="s">
        <v>2440</v>
      </c>
      <c r="E237" s="12" t="s">
        <v>1708</v>
      </c>
      <c r="F237" s="18" t="s">
        <v>1779</v>
      </c>
      <c r="G237" s="8"/>
      <c r="H237" s="8">
        <v>50</v>
      </c>
      <c r="I237" s="8">
        <v>50</v>
      </c>
      <c r="J237" s="8">
        <f>+G237+H237-I237</f>
        <v>0</v>
      </c>
      <c r="K237" s="8">
        <f>+G237+H237-I237+J237</f>
        <v>0</v>
      </c>
      <c r="L237" s="8"/>
      <c r="M237" s="9">
        <v>34.515000000000001</v>
      </c>
      <c r="N237" s="9">
        <f>+L237*M237</f>
        <v>0</v>
      </c>
      <c r="O237" s="9"/>
      <c r="P237" s="9"/>
      <c r="Q237" s="10" t="s">
        <v>1887</v>
      </c>
    </row>
    <row r="238" spans="1:17" s="11" customFormat="1" ht="39.950000000000003" customHeight="1" x14ac:dyDescent="0.3">
      <c r="A238" s="18" t="s">
        <v>760</v>
      </c>
      <c r="B238" s="23" t="s">
        <v>1581</v>
      </c>
      <c r="C238" s="8"/>
      <c r="D238" s="25" t="s">
        <v>2440</v>
      </c>
      <c r="E238" s="12" t="s">
        <v>1709</v>
      </c>
      <c r="F238" s="18" t="s">
        <v>1779</v>
      </c>
      <c r="G238" s="8"/>
      <c r="H238" s="8">
        <v>50</v>
      </c>
      <c r="I238" s="8"/>
      <c r="J238" s="8">
        <v>0</v>
      </c>
      <c r="K238" s="8">
        <f>+G238+H238-I238+J238</f>
        <v>50</v>
      </c>
      <c r="L238" s="8"/>
      <c r="M238" s="9">
        <v>34.515000000000001</v>
      </c>
      <c r="N238" s="9">
        <f>+L238*M238</f>
        <v>0</v>
      </c>
      <c r="O238" s="9"/>
      <c r="P238" s="9"/>
      <c r="Q238" s="10" t="s">
        <v>1887</v>
      </c>
    </row>
    <row r="239" spans="1:17" s="11" customFormat="1" ht="41.25" customHeight="1" x14ac:dyDescent="0.3">
      <c r="A239" s="18" t="s">
        <v>761</v>
      </c>
      <c r="B239" s="23">
        <v>44193</v>
      </c>
      <c r="C239" s="8"/>
      <c r="D239" s="25" t="s">
        <v>2385</v>
      </c>
      <c r="E239" s="12" t="s">
        <v>315</v>
      </c>
      <c r="F239" s="18" t="s">
        <v>1779</v>
      </c>
      <c r="G239" s="8">
        <v>36</v>
      </c>
      <c r="H239" s="8"/>
      <c r="I239" s="8">
        <v>2</v>
      </c>
      <c r="J239" s="8"/>
      <c r="K239" s="8">
        <f>+G239+H239+-I239</f>
        <v>34</v>
      </c>
      <c r="L239" s="8"/>
      <c r="M239" s="9">
        <v>15</v>
      </c>
      <c r="N239" s="9">
        <f>+K239*M239</f>
        <v>510</v>
      </c>
      <c r="O239" s="9"/>
      <c r="P239" s="9"/>
      <c r="Q239" s="10" t="s">
        <v>297</v>
      </c>
    </row>
    <row r="240" spans="1:17" s="11" customFormat="1" ht="40.5" x14ac:dyDescent="0.3">
      <c r="A240" s="18" t="s">
        <v>762</v>
      </c>
      <c r="B240" s="23">
        <v>45392</v>
      </c>
      <c r="C240" s="8"/>
      <c r="D240" s="25" t="s">
        <v>2436</v>
      </c>
      <c r="E240" s="12" t="s">
        <v>1687</v>
      </c>
      <c r="F240" s="18" t="s">
        <v>1779</v>
      </c>
      <c r="G240" s="8">
        <v>5</v>
      </c>
      <c r="H240" s="8"/>
      <c r="I240" s="8"/>
      <c r="J240" s="8">
        <v>0</v>
      </c>
      <c r="K240" s="8">
        <f>+G240+H240-I240+J240</f>
        <v>5</v>
      </c>
      <c r="L240" s="8"/>
      <c r="M240" s="9">
        <v>624</v>
      </c>
      <c r="N240" s="9">
        <v>3120</v>
      </c>
      <c r="O240" s="9"/>
      <c r="P240" s="9"/>
      <c r="Q240" s="10" t="s">
        <v>1887</v>
      </c>
    </row>
    <row r="241" spans="1:17" s="11" customFormat="1" ht="40.5" x14ac:dyDescent="0.3">
      <c r="A241" s="18" t="s">
        <v>763</v>
      </c>
      <c r="B241" s="23"/>
      <c r="C241" s="8"/>
      <c r="D241" s="25" t="s">
        <v>2329</v>
      </c>
      <c r="E241" s="12" t="s">
        <v>167</v>
      </c>
      <c r="F241" s="18" t="s">
        <v>1783</v>
      </c>
      <c r="G241" s="8">
        <v>1</v>
      </c>
      <c r="H241" s="8"/>
      <c r="I241" s="8">
        <v>1</v>
      </c>
      <c r="J241" s="8"/>
      <c r="K241" s="8">
        <f>+G241+H241+-I241</f>
        <v>0</v>
      </c>
      <c r="L241" s="8"/>
      <c r="M241" s="9">
        <v>82.84</v>
      </c>
      <c r="N241" s="9">
        <f>+K241*M241</f>
        <v>0</v>
      </c>
      <c r="O241" s="9"/>
      <c r="P241" s="9"/>
      <c r="Q241" s="10" t="s">
        <v>159</v>
      </c>
    </row>
    <row r="242" spans="1:17" s="11" customFormat="1" ht="40.5" x14ac:dyDescent="0.3">
      <c r="A242" s="18" t="s">
        <v>764</v>
      </c>
      <c r="B242" s="23">
        <v>45814</v>
      </c>
      <c r="C242" s="8">
        <v>30</v>
      </c>
      <c r="D242" s="25" t="s">
        <v>2322</v>
      </c>
      <c r="E242" s="12" t="s">
        <v>2156</v>
      </c>
      <c r="F242" s="18" t="s">
        <v>2157</v>
      </c>
      <c r="G242" s="8"/>
      <c r="H242" s="8">
        <v>6</v>
      </c>
      <c r="I242" s="8"/>
      <c r="J242" s="8"/>
      <c r="K242" s="8">
        <f t="shared" ref="K242:K247" si="22">+G242+H242-I242+J242</f>
        <v>6</v>
      </c>
      <c r="L242" s="8"/>
      <c r="M242" s="9">
        <v>743</v>
      </c>
      <c r="N242" s="9">
        <f>+K242*M242</f>
        <v>4458</v>
      </c>
      <c r="O242" s="9"/>
      <c r="P242" s="9"/>
      <c r="Q242" s="10" t="s">
        <v>1278</v>
      </c>
    </row>
    <row r="243" spans="1:17" s="11" customFormat="1" ht="20.25" x14ac:dyDescent="0.3">
      <c r="A243" s="18" t="s">
        <v>765</v>
      </c>
      <c r="B243" s="19">
        <v>45783</v>
      </c>
      <c r="C243" s="20"/>
      <c r="D243" s="53" t="s">
        <v>2329</v>
      </c>
      <c r="E243" s="12" t="s">
        <v>2505</v>
      </c>
      <c r="F243" s="21" t="s">
        <v>2496</v>
      </c>
      <c r="G243" s="8"/>
      <c r="H243" s="8">
        <v>25</v>
      </c>
      <c r="I243" s="8"/>
      <c r="J243" s="8"/>
      <c r="K243" s="8">
        <f t="shared" si="22"/>
        <v>25</v>
      </c>
      <c r="L243" s="8"/>
      <c r="M243" s="9">
        <v>637.20000000000005</v>
      </c>
      <c r="N243" s="9">
        <f>+K243*M243</f>
        <v>15930.000000000002</v>
      </c>
      <c r="O243" s="9"/>
      <c r="P243" s="9"/>
      <c r="Q243" s="10" t="s">
        <v>25</v>
      </c>
    </row>
    <row r="244" spans="1:17" s="11" customFormat="1" ht="20.25" x14ac:dyDescent="0.3">
      <c r="A244" s="18" t="s">
        <v>766</v>
      </c>
      <c r="B244" s="23">
        <v>45792</v>
      </c>
      <c r="C244" s="8">
        <v>30</v>
      </c>
      <c r="D244" s="25" t="s">
        <v>2329</v>
      </c>
      <c r="E244" s="12" t="s">
        <v>1786</v>
      </c>
      <c r="F244" s="18" t="s">
        <v>1783</v>
      </c>
      <c r="G244" s="8"/>
      <c r="H244" s="8">
        <v>5</v>
      </c>
      <c r="I244" s="8"/>
      <c r="J244" s="8"/>
      <c r="K244" s="8">
        <f t="shared" si="22"/>
        <v>5</v>
      </c>
      <c r="L244" s="8"/>
      <c r="M244" s="9"/>
      <c r="N244" s="9"/>
      <c r="O244" s="9"/>
      <c r="P244" s="9"/>
      <c r="Q244" s="10" t="s">
        <v>1479</v>
      </c>
    </row>
    <row r="245" spans="1:17" s="11" customFormat="1" ht="39.950000000000003" customHeight="1" x14ac:dyDescent="0.3">
      <c r="A245" s="18" t="s">
        <v>767</v>
      </c>
      <c r="B245" s="23">
        <v>45623</v>
      </c>
      <c r="C245" s="8"/>
      <c r="D245" s="25" t="s">
        <v>2322</v>
      </c>
      <c r="E245" s="12" t="s">
        <v>1276</v>
      </c>
      <c r="F245" s="18" t="s">
        <v>1783</v>
      </c>
      <c r="G245" s="8"/>
      <c r="H245" s="8">
        <v>15</v>
      </c>
      <c r="I245" s="8"/>
      <c r="J245" s="8"/>
      <c r="K245" s="8">
        <f t="shared" si="22"/>
        <v>15</v>
      </c>
      <c r="L245" s="8"/>
      <c r="M245" s="9">
        <v>413</v>
      </c>
      <c r="N245" s="9">
        <f t="shared" ref="N245:N279" si="23">+K245*M245</f>
        <v>6195</v>
      </c>
      <c r="O245" s="9"/>
      <c r="P245" s="9"/>
      <c r="Q245" s="10" t="s">
        <v>1278</v>
      </c>
    </row>
    <row r="246" spans="1:17" s="11" customFormat="1" ht="39.950000000000003" customHeight="1" x14ac:dyDescent="0.3">
      <c r="A246" s="18" t="s">
        <v>768</v>
      </c>
      <c r="B246" s="23">
        <v>45783</v>
      </c>
      <c r="C246" s="8"/>
      <c r="D246" s="25" t="s">
        <v>2322</v>
      </c>
      <c r="E246" s="12" t="s">
        <v>1430</v>
      </c>
      <c r="F246" s="18" t="s">
        <v>1779</v>
      </c>
      <c r="G246" s="8">
        <v>1</v>
      </c>
      <c r="H246" s="8">
        <f>1+11</f>
        <v>12</v>
      </c>
      <c r="I246" s="8"/>
      <c r="J246" s="8"/>
      <c r="K246" s="8">
        <f t="shared" si="22"/>
        <v>13</v>
      </c>
      <c r="L246" s="8"/>
      <c r="M246" s="9">
        <v>1018.34</v>
      </c>
      <c r="N246" s="9">
        <f t="shared" si="23"/>
        <v>13238.42</v>
      </c>
      <c r="O246" s="9"/>
      <c r="P246" s="9"/>
      <c r="Q246" s="10" t="s">
        <v>1479</v>
      </c>
    </row>
    <row r="247" spans="1:17" s="11" customFormat="1" ht="39.950000000000003" customHeight="1" x14ac:dyDescent="0.3">
      <c r="A247" s="18" t="s">
        <v>769</v>
      </c>
      <c r="B247" s="19">
        <v>45783</v>
      </c>
      <c r="C247" s="20"/>
      <c r="D247" s="53" t="s">
        <v>2409</v>
      </c>
      <c r="E247" s="12" t="s">
        <v>2408</v>
      </c>
      <c r="F247" s="21" t="s">
        <v>1779</v>
      </c>
      <c r="G247" s="8"/>
      <c r="H247" s="8">
        <v>12</v>
      </c>
      <c r="I247" s="8"/>
      <c r="J247" s="8"/>
      <c r="K247" s="8">
        <f t="shared" si="22"/>
        <v>12</v>
      </c>
      <c r="L247" s="8"/>
      <c r="M247" s="9">
        <v>1136.3399999999999</v>
      </c>
      <c r="N247" s="9">
        <f t="shared" si="23"/>
        <v>13636.079999999998</v>
      </c>
      <c r="O247" s="9"/>
      <c r="P247" s="9"/>
      <c r="Q247" s="10" t="s">
        <v>159</v>
      </c>
    </row>
    <row r="248" spans="1:17" s="11" customFormat="1" ht="40.5" x14ac:dyDescent="0.3">
      <c r="A248" s="18" t="s">
        <v>770</v>
      </c>
      <c r="B248" s="19">
        <v>45111</v>
      </c>
      <c r="C248" s="20"/>
      <c r="D248" s="53" t="s">
        <v>2318</v>
      </c>
      <c r="E248" s="12" t="s">
        <v>234</v>
      </c>
      <c r="F248" s="21" t="s">
        <v>1779</v>
      </c>
      <c r="G248" s="8">
        <v>10</v>
      </c>
      <c r="H248" s="8"/>
      <c r="I248" s="8">
        <v>5</v>
      </c>
      <c r="J248" s="8"/>
      <c r="K248" s="8">
        <f t="shared" ref="K248:K254" si="24">+G248+H248+-I248</f>
        <v>5</v>
      </c>
      <c r="L248" s="8"/>
      <c r="M248" s="9">
        <v>172.08</v>
      </c>
      <c r="N248" s="9">
        <f t="shared" si="23"/>
        <v>860.40000000000009</v>
      </c>
      <c r="O248" s="9"/>
      <c r="P248" s="9"/>
      <c r="Q248" s="10" t="s">
        <v>235</v>
      </c>
    </row>
    <row r="249" spans="1:17" s="11" customFormat="1" ht="40.5" x14ac:dyDescent="0.3">
      <c r="A249" s="18" t="s">
        <v>771</v>
      </c>
      <c r="B249" s="23">
        <v>45512</v>
      </c>
      <c r="C249" s="8"/>
      <c r="D249" s="53" t="s">
        <v>2318</v>
      </c>
      <c r="E249" s="12" t="s">
        <v>236</v>
      </c>
      <c r="F249" s="18" t="s">
        <v>1779</v>
      </c>
      <c r="G249" s="8">
        <v>23</v>
      </c>
      <c r="H249" s="8"/>
      <c r="I249" s="8">
        <v>12</v>
      </c>
      <c r="J249" s="8"/>
      <c r="K249" s="8">
        <f t="shared" si="24"/>
        <v>11</v>
      </c>
      <c r="L249" s="8">
        <v>11</v>
      </c>
      <c r="M249" s="9">
        <v>172.08</v>
      </c>
      <c r="N249" s="9">
        <f t="shared" si="23"/>
        <v>1892.88</v>
      </c>
      <c r="O249" s="9"/>
      <c r="P249" s="9"/>
      <c r="Q249" s="10" t="s">
        <v>235</v>
      </c>
    </row>
    <row r="250" spans="1:17" s="11" customFormat="1" ht="39.950000000000003" customHeight="1" x14ac:dyDescent="0.3">
      <c r="A250" s="18" t="s">
        <v>772</v>
      </c>
      <c r="B250" s="23"/>
      <c r="C250" s="8"/>
      <c r="D250" s="53" t="s">
        <v>2318</v>
      </c>
      <c r="E250" s="12" t="s">
        <v>237</v>
      </c>
      <c r="F250" s="18" t="s">
        <v>1779</v>
      </c>
      <c r="G250" s="8">
        <v>15</v>
      </c>
      <c r="H250" s="8"/>
      <c r="I250" s="8">
        <v>0</v>
      </c>
      <c r="J250" s="8"/>
      <c r="K250" s="8">
        <f t="shared" si="24"/>
        <v>15</v>
      </c>
      <c r="L250" s="8">
        <v>15</v>
      </c>
      <c r="M250" s="9">
        <v>172.08</v>
      </c>
      <c r="N250" s="9">
        <f t="shared" si="23"/>
        <v>2581.2000000000003</v>
      </c>
      <c r="O250" s="9"/>
      <c r="P250" s="9"/>
      <c r="Q250" s="10" t="s">
        <v>235</v>
      </c>
    </row>
    <row r="251" spans="1:17" s="11" customFormat="1" ht="39.950000000000003" customHeight="1" x14ac:dyDescent="0.3">
      <c r="A251" s="18" t="s">
        <v>773</v>
      </c>
      <c r="B251" s="19">
        <v>45698</v>
      </c>
      <c r="C251" s="20">
        <v>10</v>
      </c>
      <c r="D251" s="53" t="s">
        <v>2318</v>
      </c>
      <c r="E251" s="12" t="s">
        <v>252</v>
      </c>
      <c r="F251" s="21" t="s">
        <v>1779</v>
      </c>
      <c r="G251" s="8">
        <v>0</v>
      </c>
      <c r="H251" s="8">
        <v>107</v>
      </c>
      <c r="I251" s="8">
        <f>6+1+10-1+2+12+1</f>
        <v>31</v>
      </c>
      <c r="J251" s="8"/>
      <c r="K251" s="8">
        <f t="shared" si="24"/>
        <v>76</v>
      </c>
      <c r="L251" s="8"/>
      <c r="M251" s="9">
        <v>348.1</v>
      </c>
      <c r="N251" s="9">
        <f t="shared" si="23"/>
        <v>26455.600000000002</v>
      </c>
      <c r="O251" s="9"/>
      <c r="P251" s="9"/>
      <c r="Q251" s="10" t="s">
        <v>235</v>
      </c>
    </row>
    <row r="252" spans="1:17" s="11" customFormat="1" ht="39.950000000000003" customHeight="1" x14ac:dyDescent="0.3">
      <c r="A252" s="18" t="s">
        <v>774</v>
      </c>
      <c r="B252" s="23">
        <v>45698</v>
      </c>
      <c r="C252" s="8">
        <v>10</v>
      </c>
      <c r="D252" s="53" t="s">
        <v>2318</v>
      </c>
      <c r="E252" s="12" t="s">
        <v>254</v>
      </c>
      <c r="F252" s="18" t="s">
        <v>1779</v>
      </c>
      <c r="G252" s="8">
        <v>2</v>
      </c>
      <c r="H252" s="8">
        <v>80</v>
      </c>
      <c r="I252" s="8">
        <v>74</v>
      </c>
      <c r="J252" s="8"/>
      <c r="K252" s="8">
        <f t="shared" si="24"/>
        <v>8</v>
      </c>
      <c r="L252" s="8">
        <v>8</v>
      </c>
      <c r="M252" s="9">
        <v>70.8</v>
      </c>
      <c r="N252" s="9">
        <f t="shared" si="23"/>
        <v>566.4</v>
      </c>
      <c r="O252" s="9"/>
      <c r="P252" s="9"/>
      <c r="Q252" s="10" t="s">
        <v>235</v>
      </c>
    </row>
    <row r="253" spans="1:17" s="11" customFormat="1" ht="39.950000000000003" customHeight="1" x14ac:dyDescent="0.3">
      <c r="A253" s="18" t="s">
        <v>775</v>
      </c>
      <c r="B253" s="23">
        <v>45512</v>
      </c>
      <c r="C253" s="8"/>
      <c r="D253" s="53" t="s">
        <v>2321</v>
      </c>
      <c r="E253" s="12" t="s">
        <v>445</v>
      </c>
      <c r="F253" s="18" t="s">
        <v>1779</v>
      </c>
      <c r="G253" s="8">
        <v>1</v>
      </c>
      <c r="H253" s="8"/>
      <c r="I253" s="8">
        <v>1</v>
      </c>
      <c r="J253" s="8"/>
      <c r="K253" s="8">
        <f t="shared" si="24"/>
        <v>0</v>
      </c>
      <c r="L253" s="8"/>
      <c r="M253" s="9">
        <v>88</v>
      </c>
      <c r="N253" s="9">
        <f t="shared" si="23"/>
        <v>0</v>
      </c>
      <c r="O253" s="9"/>
      <c r="P253" s="9"/>
      <c r="Q253" s="10" t="s">
        <v>433</v>
      </c>
    </row>
    <row r="254" spans="1:17" s="11" customFormat="1" ht="39.950000000000003" customHeight="1" x14ac:dyDescent="0.3">
      <c r="A254" s="18" t="s">
        <v>2452</v>
      </c>
      <c r="B254" s="23">
        <v>45512</v>
      </c>
      <c r="C254" s="8"/>
      <c r="D254" s="25" t="s">
        <v>2409</v>
      </c>
      <c r="E254" s="12" t="s">
        <v>168</v>
      </c>
      <c r="F254" s="18" t="s">
        <v>1779</v>
      </c>
      <c r="G254" s="8">
        <f>20-1-1-1-1-2</f>
        <v>14</v>
      </c>
      <c r="H254" s="8"/>
      <c r="I254" s="8">
        <f>2+1+2+1+2+1+1+2+1</f>
        <v>13</v>
      </c>
      <c r="J254" s="8"/>
      <c r="K254" s="8">
        <f t="shared" si="24"/>
        <v>1</v>
      </c>
      <c r="L254" s="8"/>
      <c r="M254" s="9">
        <v>531</v>
      </c>
      <c r="N254" s="9">
        <f t="shared" si="23"/>
        <v>531</v>
      </c>
      <c r="O254" s="9"/>
      <c r="P254" s="9"/>
      <c r="Q254" s="10" t="s">
        <v>159</v>
      </c>
    </row>
    <row r="255" spans="1:17" s="11" customFormat="1" ht="39.950000000000003" customHeight="1" x14ac:dyDescent="0.3">
      <c r="A255" s="18" t="s">
        <v>776</v>
      </c>
      <c r="B255" s="19">
        <v>45783</v>
      </c>
      <c r="C255" s="20"/>
      <c r="D255" s="53" t="s">
        <v>2320</v>
      </c>
      <c r="E255" s="12" t="s">
        <v>2503</v>
      </c>
      <c r="F255" s="21" t="s">
        <v>2496</v>
      </c>
      <c r="G255" s="8"/>
      <c r="H255" s="8">
        <v>15</v>
      </c>
      <c r="I255" s="8"/>
      <c r="J255" s="8"/>
      <c r="K255" s="8">
        <f>+G255+H255-I255+J255</f>
        <v>15</v>
      </c>
      <c r="L255" s="8"/>
      <c r="M255" s="9">
        <v>501.5</v>
      </c>
      <c r="N255" s="9">
        <f t="shared" si="23"/>
        <v>7522.5</v>
      </c>
      <c r="O255" s="9"/>
      <c r="P255" s="9"/>
      <c r="Q255" s="10" t="s">
        <v>25</v>
      </c>
    </row>
    <row r="256" spans="1:17" s="11" customFormat="1" ht="39.950000000000003" customHeight="1" x14ac:dyDescent="0.3">
      <c r="A256" s="18" t="s">
        <v>777</v>
      </c>
      <c r="B256" s="23">
        <v>45499</v>
      </c>
      <c r="C256" s="8"/>
      <c r="D256" s="25" t="s">
        <v>2409</v>
      </c>
      <c r="E256" s="12" t="s">
        <v>169</v>
      </c>
      <c r="F256" s="18" t="s">
        <v>1779</v>
      </c>
      <c r="G256" s="8">
        <v>1</v>
      </c>
      <c r="H256" s="8"/>
      <c r="I256" s="8"/>
      <c r="J256" s="8"/>
      <c r="K256" s="8">
        <f>+G256+H256+-I256</f>
        <v>1</v>
      </c>
      <c r="L256" s="8"/>
      <c r="M256" s="9">
        <v>1028</v>
      </c>
      <c r="N256" s="9">
        <f t="shared" si="23"/>
        <v>1028</v>
      </c>
      <c r="O256" s="9"/>
      <c r="P256" s="9"/>
      <c r="Q256" s="10" t="s">
        <v>159</v>
      </c>
    </row>
    <row r="257" spans="1:17" s="11" customFormat="1" ht="39.950000000000003" customHeight="1" x14ac:dyDescent="0.3">
      <c r="A257" s="18" t="s">
        <v>778</v>
      </c>
      <c r="B257" s="23">
        <v>45499</v>
      </c>
      <c r="C257" s="8"/>
      <c r="D257" s="25" t="s">
        <v>2442</v>
      </c>
      <c r="E257" s="12" t="s">
        <v>1453</v>
      </c>
      <c r="F257" s="18" t="s">
        <v>1779</v>
      </c>
      <c r="G257" s="8"/>
      <c r="H257" s="8">
        <v>10</v>
      </c>
      <c r="I257" s="8">
        <v>10</v>
      </c>
      <c r="J257" s="8"/>
      <c r="K257" s="8">
        <f t="shared" ref="K257:K263" si="25">+G257+H257-I257+J257</f>
        <v>0</v>
      </c>
      <c r="L257" s="8"/>
      <c r="M257" s="9">
        <v>5664</v>
      </c>
      <c r="N257" s="9">
        <f t="shared" si="23"/>
        <v>0</v>
      </c>
      <c r="O257" s="9"/>
      <c r="P257" s="9"/>
      <c r="Q257" s="10" t="s">
        <v>1478</v>
      </c>
    </row>
    <row r="258" spans="1:17" s="11" customFormat="1" ht="39.950000000000003" customHeight="1" x14ac:dyDescent="0.3">
      <c r="A258" s="18" t="s">
        <v>779</v>
      </c>
      <c r="B258" s="23"/>
      <c r="C258" s="8"/>
      <c r="D258" s="25" t="s">
        <v>2474</v>
      </c>
      <c r="E258" s="12" t="s">
        <v>1418</v>
      </c>
      <c r="F258" s="18" t="s">
        <v>1779</v>
      </c>
      <c r="G258" s="8"/>
      <c r="H258" s="8">
        <v>2</v>
      </c>
      <c r="I258" s="8"/>
      <c r="J258" s="8"/>
      <c r="K258" s="8">
        <f t="shared" si="25"/>
        <v>2</v>
      </c>
      <c r="L258" s="8"/>
      <c r="M258" s="9">
        <v>3037.32</v>
      </c>
      <c r="N258" s="9">
        <f t="shared" si="23"/>
        <v>6074.64</v>
      </c>
      <c r="O258" s="9"/>
      <c r="P258" s="9"/>
      <c r="Q258" s="10" t="s">
        <v>1321</v>
      </c>
    </row>
    <row r="259" spans="1:17" s="11" customFormat="1" ht="39.950000000000003" customHeight="1" x14ac:dyDescent="0.3">
      <c r="A259" s="18" t="s">
        <v>780</v>
      </c>
      <c r="B259" s="19">
        <v>45813</v>
      </c>
      <c r="C259" s="20"/>
      <c r="D259" s="53" t="s">
        <v>2468</v>
      </c>
      <c r="E259" s="12" t="s">
        <v>2235</v>
      </c>
      <c r="F259" s="21" t="s">
        <v>1779</v>
      </c>
      <c r="G259" s="8"/>
      <c r="H259" s="8">
        <v>2</v>
      </c>
      <c r="I259" s="8"/>
      <c r="J259" s="8"/>
      <c r="K259" s="8">
        <f t="shared" si="25"/>
        <v>2</v>
      </c>
      <c r="L259" s="8"/>
      <c r="M259" s="9">
        <v>6045</v>
      </c>
      <c r="N259" s="9">
        <f t="shared" si="23"/>
        <v>12090</v>
      </c>
      <c r="O259" s="9"/>
      <c r="P259" s="9"/>
      <c r="Q259" s="10" t="s">
        <v>520</v>
      </c>
    </row>
    <row r="260" spans="1:17" s="11" customFormat="1" ht="39.950000000000003" customHeight="1" x14ac:dyDescent="0.3">
      <c r="A260" s="18" t="s">
        <v>781</v>
      </c>
      <c r="B260" s="19">
        <v>45813</v>
      </c>
      <c r="C260" s="20"/>
      <c r="D260" s="53" t="s">
        <v>2468</v>
      </c>
      <c r="E260" s="12" t="s">
        <v>2234</v>
      </c>
      <c r="F260" s="21" t="s">
        <v>1779</v>
      </c>
      <c r="G260" s="8"/>
      <c r="H260" s="8">
        <v>1</v>
      </c>
      <c r="I260" s="8"/>
      <c r="J260" s="8"/>
      <c r="K260" s="8">
        <f t="shared" si="25"/>
        <v>1</v>
      </c>
      <c r="L260" s="8"/>
      <c r="M260" s="9">
        <v>6045</v>
      </c>
      <c r="N260" s="9">
        <f t="shared" si="23"/>
        <v>6045</v>
      </c>
      <c r="O260" s="9"/>
      <c r="P260" s="9"/>
      <c r="Q260" s="10" t="s">
        <v>520</v>
      </c>
    </row>
    <row r="261" spans="1:17" s="11" customFormat="1" ht="39.950000000000003" customHeight="1" x14ac:dyDescent="0.3">
      <c r="A261" s="18" t="s">
        <v>782</v>
      </c>
      <c r="B261" s="19">
        <v>45813</v>
      </c>
      <c r="C261" s="20"/>
      <c r="D261" s="53" t="s">
        <v>2468</v>
      </c>
      <c r="E261" s="12" t="s">
        <v>2236</v>
      </c>
      <c r="F261" s="21" t="s">
        <v>1779</v>
      </c>
      <c r="G261" s="8"/>
      <c r="H261" s="8">
        <v>2</v>
      </c>
      <c r="I261" s="8"/>
      <c r="J261" s="8"/>
      <c r="K261" s="8">
        <f t="shared" si="25"/>
        <v>2</v>
      </c>
      <c r="L261" s="8"/>
      <c r="M261" s="9">
        <v>6045</v>
      </c>
      <c r="N261" s="9">
        <f t="shared" si="23"/>
        <v>12090</v>
      </c>
      <c r="O261" s="9"/>
      <c r="P261" s="9"/>
      <c r="Q261" s="10" t="s">
        <v>520</v>
      </c>
    </row>
    <row r="262" spans="1:17" s="11" customFormat="1" ht="39.950000000000003" customHeight="1" x14ac:dyDescent="0.3">
      <c r="A262" s="18" t="s">
        <v>783</v>
      </c>
      <c r="B262" s="19">
        <v>45828</v>
      </c>
      <c r="C262" s="20"/>
      <c r="D262" s="53" t="s">
        <v>2468</v>
      </c>
      <c r="E262" s="12" t="s">
        <v>2216</v>
      </c>
      <c r="F262" s="21" t="s">
        <v>1779</v>
      </c>
      <c r="G262" s="8"/>
      <c r="H262" s="8">
        <v>3</v>
      </c>
      <c r="I262" s="8"/>
      <c r="J262" s="8"/>
      <c r="K262" s="8">
        <f t="shared" si="25"/>
        <v>3</v>
      </c>
      <c r="L262" s="8"/>
      <c r="M262" s="9">
        <v>6045</v>
      </c>
      <c r="N262" s="9">
        <f t="shared" si="23"/>
        <v>18135</v>
      </c>
      <c r="O262" s="9"/>
      <c r="P262" s="9"/>
      <c r="Q262" s="10" t="s">
        <v>520</v>
      </c>
    </row>
    <row r="263" spans="1:17" s="11" customFormat="1" ht="39.950000000000003" customHeight="1" x14ac:dyDescent="0.3">
      <c r="A263" s="18" t="s">
        <v>784</v>
      </c>
      <c r="B263" s="23"/>
      <c r="C263" s="8"/>
      <c r="D263" s="25" t="s">
        <v>2442</v>
      </c>
      <c r="E263" s="12" t="s">
        <v>1468</v>
      </c>
      <c r="F263" s="18" t="s">
        <v>1779</v>
      </c>
      <c r="G263" s="8"/>
      <c r="H263" s="8">
        <v>21</v>
      </c>
      <c r="I263" s="8">
        <v>21</v>
      </c>
      <c r="J263" s="8"/>
      <c r="K263" s="8">
        <f t="shared" si="25"/>
        <v>0</v>
      </c>
      <c r="L263" s="8"/>
      <c r="M263" s="9">
        <v>6796.8</v>
      </c>
      <c r="N263" s="9">
        <f t="shared" si="23"/>
        <v>0</v>
      </c>
      <c r="O263" s="9"/>
      <c r="P263" s="9"/>
      <c r="Q263" s="10" t="s">
        <v>1478</v>
      </c>
    </row>
    <row r="264" spans="1:17" s="11" customFormat="1" ht="39.950000000000003" customHeight="1" x14ac:dyDescent="0.3">
      <c r="A264" s="18" t="s">
        <v>785</v>
      </c>
      <c r="B264" s="23">
        <v>45797</v>
      </c>
      <c r="C264" s="8"/>
      <c r="D264" s="53" t="s">
        <v>2321</v>
      </c>
      <c r="E264" s="12" t="s">
        <v>1825</v>
      </c>
      <c r="F264" s="18" t="s">
        <v>1779</v>
      </c>
      <c r="G264" s="8"/>
      <c r="H264" s="8">
        <v>24</v>
      </c>
      <c r="I264" s="8"/>
      <c r="J264" s="8"/>
      <c r="K264" s="8">
        <f>+G264+H264+-I264</f>
        <v>24</v>
      </c>
      <c r="L264" s="8"/>
      <c r="M264" s="9">
        <v>1711</v>
      </c>
      <c r="N264" s="9">
        <f t="shared" si="23"/>
        <v>41064</v>
      </c>
      <c r="O264" s="9"/>
      <c r="P264" s="9"/>
      <c r="Q264" s="10" t="s">
        <v>433</v>
      </c>
    </row>
    <row r="265" spans="1:17" s="11" customFormat="1" ht="39.950000000000003" customHeight="1" x14ac:dyDescent="0.3">
      <c r="A265" s="18" t="s">
        <v>786</v>
      </c>
      <c r="B265" s="19">
        <v>45820</v>
      </c>
      <c r="C265" s="20">
        <v>30</v>
      </c>
      <c r="D265" s="53" t="s">
        <v>2321</v>
      </c>
      <c r="E265" s="12" t="s">
        <v>2199</v>
      </c>
      <c r="F265" s="21" t="s">
        <v>1779</v>
      </c>
      <c r="G265" s="8"/>
      <c r="H265" s="8">
        <v>24</v>
      </c>
      <c r="I265" s="8"/>
      <c r="J265" s="8"/>
      <c r="K265" s="8">
        <f>+G265+H265-I265+J265</f>
        <v>24</v>
      </c>
      <c r="L265" s="8"/>
      <c r="M265" s="9">
        <v>1801</v>
      </c>
      <c r="N265" s="9">
        <f t="shared" si="23"/>
        <v>43224</v>
      </c>
      <c r="O265" s="9"/>
      <c r="P265" s="9"/>
      <c r="Q265" s="10" t="s">
        <v>433</v>
      </c>
    </row>
    <row r="266" spans="1:17" s="11" customFormat="1" ht="39.950000000000003" customHeight="1" x14ac:dyDescent="0.3">
      <c r="A266" s="18" t="s">
        <v>787</v>
      </c>
      <c r="B266" s="23"/>
      <c r="C266" s="8"/>
      <c r="D266" s="25" t="s">
        <v>2385</v>
      </c>
      <c r="E266" s="12" t="s">
        <v>316</v>
      </c>
      <c r="F266" s="18" t="s">
        <v>1779</v>
      </c>
      <c r="G266" s="8">
        <v>19</v>
      </c>
      <c r="H266" s="8"/>
      <c r="I266" s="8">
        <v>1</v>
      </c>
      <c r="J266" s="8"/>
      <c r="K266" s="8">
        <f>+G266+H266+-I266</f>
        <v>18</v>
      </c>
      <c r="L266" s="8"/>
      <c r="M266" s="9">
        <v>37.74</v>
      </c>
      <c r="N266" s="9">
        <f t="shared" si="23"/>
        <v>679.32</v>
      </c>
      <c r="O266" s="9"/>
      <c r="P266" s="9"/>
      <c r="Q266" s="10" t="s">
        <v>297</v>
      </c>
    </row>
    <row r="267" spans="1:17" s="11" customFormat="1" ht="39.950000000000003" customHeight="1" x14ac:dyDescent="0.3">
      <c r="A267" s="18" t="s">
        <v>788</v>
      </c>
      <c r="B267" s="23"/>
      <c r="C267" s="8"/>
      <c r="D267" s="25" t="s">
        <v>2385</v>
      </c>
      <c r="E267" s="12" t="s">
        <v>317</v>
      </c>
      <c r="F267" s="18" t="s">
        <v>1779</v>
      </c>
      <c r="G267" s="8">
        <v>1</v>
      </c>
      <c r="H267" s="8"/>
      <c r="I267" s="8"/>
      <c r="J267" s="8"/>
      <c r="K267" s="8">
        <f>+G267+H267+-I267</f>
        <v>1</v>
      </c>
      <c r="L267" s="8"/>
      <c r="M267" s="9">
        <v>37.74</v>
      </c>
      <c r="N267" s="9">
        <f t="shared" si="23"/>
        <v>37.74</v>
      </c>
      <c r="O267" s="9"/>
      <c r="P267" s="9"/>
      <c r="Q267" s="10" t="s">
        <v>297</v>
      </c>
    </row>
    <row r="268" spans="1:17" s="11" customFormat="1" ht="39.950000000000003" customHeight="1" x14ac:dyDescent="0.3">
      <c r="A268" s="18" t="s">
        <v>789</v>
      </c>
      <c r="B268" s="23"/>
      <c r="C268" s="8"/>
      <c r="D268" s="25" t="s">
        <v>2385</v>
      </c>
      <c r="E268" s="12" t="s">
        <v>318</v>
      </c>
      <c r="F268" s="18" t="s">
        <v>1779</v>
      </c>
      <c r="G268" s="8">
        <v>5</v>
      </c>
      <c r="H268" s="8"/>
      <c r="I268" s="8">
        <f>2+1</f>
        <v>3</v>
      </c>
      <c r="J268" s="8"/>
      <c r="K268" s="8">
        <f>+G268+H268+-I268</f>
        <v>2</v>
      </c>
      <c r="L268" s="8"/>
      <c r="M268" s="9">
        <v>37.74</v>
      </c>
      <c r="N268" s="9">
        <f t="shared" si="23"/>
        <v>75.48</v>
      </c>
      <c r="O268" s="9"/>
      <c r="P268" s="9"/>
      <c r="Q268" s="10" t="s">
        <v>297</v>
      </c>
    </row>
    <row r="269" spans="1:17" s="11" customFormat="1" ht="39.950000000000003" customHeight="1" x14ac:dyDescent="0.3">
      <c r="A269" s="18" t="s">
        <v>2117</v>
      </c>
      <c r="B269" s="23"/>
      <c r="C269" s="8"/>
      <c r="D269" s="25" t="s">
        <v>2321</v>
      </c>
      <c r="E269" s="12" t="s">
        <v>170</v>
      </c>
      <c r="F269" s="18" t="s">
        <v>1779</v>
      </c>
      <c r="G269" s="8">
        <v>1</v>
      </c>
      <c r="H269" s="8"/>
      <c r="I269" s="8"/>
      <c r="J269" s="8"/>
      <c r="K269" s="8">
        <f>+G269+H269+-I269</f>
        <v>1</v>
      </c>
      <c r="L269" s="8"/>
      <c r="M269" s="9">
        <v>300</v>
      </c>
      <c r="N269" s="9">
        <f t="shared" si="23"/>
        <v>300</v>
      </c>
      <c r="O269" s="9"/>
      <c r="P269" s="9"/>
      <c r="Q269" s="10" t="s">
        <v>159</v>
      </c>
    </row>
    <row r="270" spans="1:17" s="11" customFormat="1" ht="39.950000000000003" customHeight="1" x14ac:dyDescent="0.3">
      <c r="A270" s="18" t="s">
        <v>790</v>
      </c>
      <c r="B270" s="23">
        <v>45783</v>
      </c>
      <c r="C270" s="8">
        <v>30</v>
      </c>
      <c r="D270" s="25" t="s">
        <v>2318</v>
      </c>
      <c r="E270" s="12" t="s">
        <v>2405</v>
      </c>
      <c r="F270" s="18" t="s">
        <v>1779</v>
      </c>
      <c r="G270" s="8"/>
      <c r="H270" s="8">
        <f>1+5</f>
        <v>6</v>
      </c>
      <c r="I270" s="8"/>
      <c r="J270" s="8"/>
      <c r="K270" s="8">
        <f>+G270+H270-I270+J270</f>
        <v>6</v>
      </c>
      <c r="L270" s="8"/>
      <c r="M270" s="9">
        <v>247.8</v>
      </c>
      <c r="N270" s="9">
        <f t="shared" si="23"/>
        <v>1486.8000000000002</v>
      </c>
      <c r="O270" s="9"/>
      <c r="P270" s="9"/>
      <c r="Q270" s="10" t="s">
        <v>1321</v>
      </c>
    </row>
    <row r="271" spans="1:17" s="11" customFormat="1" ht="39.950000000000003" customHeight="1" x14ac:dyDescent="0.3">
      <c r="A271" s="18" t="s">
        <v>791</v>
      </c>
      <c r="B271" s="23">
        <v>45811</v>
      </c>
      <c r="C271" s="8">
        <v>30</v>
      </c>
      <c r="D271" s="25" t="s">
        <v>2318</v>
      </c>
      <c r="E271" s="12" t="s">
        <v>1426</v>
      </c>
      <c r="F271" s="18" t="s">
        <v>1779</v>
      </c>
      <c r="G271" s="8">
        <v>4</v>
      </c>
      <c r="H271" s="8">
        <v>1</v>
      </c>
      <c r="I271" s="8">
        <v>4</v>
      </c>
      <c r="J271" s="8"/>
      <c r="K271" s="8">
        <f>+G271+H271-I271+J271</f>
        <v>1</v>
      </c>
      <c r="L271" s="8"/>
      <c r="M271" s="9">
        <v>318.60000000000002</v>
      </c>
      <c r="N271" s="9">
        <f t="shared" si="23"/>
        <v>318.60000000000002</v>
      </c>
      <c r="O271" s="9"/>
      <c r="P271" s="9"/>
      <c r="Q271" s="10" t="s">
        <v>1321</v>
      </c>
    </row>
    <row r="272" spans="1:17" s="11" customFormat="1" ht="39.950000000000003" customHeight="1" x14ac:dyDescent="0.3">
      <c r="A272" s="18" t="s">
        <v>792</v>
      </c>
      <c r="B272" s="23"/>
      <c r="C272" s="8"/>
      <c r="D272" s="25" t="s">
        <v>2318</v>
      </c>
      <c r="E272" s="12" t="s">
        <v>1428</v>
      </c>
      <c r="F272" s="18" t="s">
        <v>1779</v>
      </c>
      <c r="G272" s="8"/>
      <c r="H272" s="8">
        <v>1</v>
      </c>
      <c r="I272" s="8"/>
      <c r="J272" s="8"/>
      <c r="K272" s="8">
        <f>+G272+H272-I272+J272</f>
        <v>1</v>
      </c>
      <c r="L272" s="8"/>
      <c r="M272" s="9">
        <v>224.2</v>
      </c>
      <c r="N272" s="9">
        <f t="shared" si="23"/>
        <v>224.2</v>
      </c>
      <c r="O272" s="9"/>
      <c r="P272" s="9"/>
      <c r="Q272" s="10" t="s">
        <v>1321</v>
      </c>
    </row>
    <row r="273" spans="1:17" s="11" customFormat="1" ht="39.950000000000003" customHeight="1" x14ac:dyDescent="0.3">
      <c r="A273" s="18" t="s">
        <v>793</v>
      </c>
      <c r="B273" s="23"/>
      <c r="C273" s="8"/>
      <c r="D273" s="25" t="s">
        <v>2318</v>
      </c>
      <c r="E273" s="12" t="s">
        <v>1427</v>
      </c>
      <c r="F273" s="18" t="s">
        <v>1779</v>
      </c>
      <c r="G273" s="8"/>
      <c r="H273" s="8">
        <v>1</v>
      </c>
      <c r="I273" s="8"/>
      <c r="J273" s="8"/>
      <c r="K273" s="8">
        <f>+G273+H273-I273+J273</f>
        <v>1</v>
      </c>
      <c r="L273" s="8"/>
      <c r="M273" s="9">
        <v>253.7</v>
      </c>
      <c r="N273" s="9">
        <f t="shared" si="23"/>
        <v>253.7</v>
      </c>
      <c r="O273" s="9"/>
      <c r="P273" s="9"/>
      <c r="Q273" s="10" t="s">
        <v>1321</v>
      </c>
    </row>
    <row r="274" spans="1:17" s="11" customFormat="1" ht="39.950000000000003" customHeight="1" x14ac:dyDescent="0.3">
      <c r="A274" s="18" t="s">
        <v>794</v>
      </c>
      <c r="B274" s="23"/>
      <c r="C274" s="8"/>
      <c r="D274" s="25" t="s">
        <v>2318</v>
      </c>
      <c r="E274" s="12" t="s">
        <v>2406</v>
      </c>
      <c r="F274" s="18" t="s">
        <v>1779</v>
      </c>
      <c r="G274" s="8"/>
      <c r="H274" s="8">
        <f>4+5</f>
        <v>9</v>
      </c>
      <c r="I274" s="8"/>
      <c r="J274" s="8"/>
      <c r="K274" s="8">
        <f>+G274+H274-I274+J274</f>
        <v>9</v>
      </c>
      <c r="L274" s="8"/>
      <c r="M274" s="9">
        <v>261.95999999999998</v>
      </c>
      <c r="N274" s="9">
        <f t="shared" si="23"/>
        <v>2357.64</v>
      </c>
      <c r="O274" s="9"/>
      <c r="P274" s="9"/>
      <c r="Q274" s="10" t="s">
        <v>1321</v>
      </c>
    </row>
    <row r="275" spans="1:17" s="11" customFormat="1" ht="39.950000000000003" customHeight="1" x14ac:dyDescent="0.3">
      <c r="A275" s="18" t="s">
        <v>795</v>
      </c>
      <c r="B275" s="23">
        <v>45783</v>
      </c>
      <c r="C275" s="8"/>
      <c r="D275" s="25" t="s">
        <v>2385</v>
      </c>
      <c r="E275" s="12" t="s">
        <v>321</v>
      </c>
      <c r="F275" s="18" t="s">
        <v>1779</v>
      </c>
      <c r="G275" s="8">
        <v>37</v>
      </c>
      <c r="H275" s="8"/>
      <c r="I275" s="8">
        <f>1+2+1+5+1+1+1</f>
        <v>12</v>
      </c>
      <c r="J275" s="8"/>
      <c r="K275" s="8">
        <f>+G275+H275+-I275</f>
        <v>25</v>
      </c>
      <c r="L275" s="8"/>
      <c r="M275" s="9">
        <v>89.81</v>
      </c>
      <c r="N275" s="9">
        <f t="shared" si="23"/>
        <v>2245.25</v>
      </c>
      <c r="O275" s="9"/>
      <c r="P275" s="9"/>
      <c r="Q275" s="10" t="s">
        <v>297</v>
      </c>
    </row>
    <row r="276" spans="1:17" s="11" customFormat="1" ht="39.950000000000003" customHeight="1" x14ac:dyDescent="0.3">
      <c r="A276" s="18" t="s">
        <v>796</v>
      </c>
      <c r="B276" s="23" t="s">
        <v>1536</v>
      </c>
      <c r="C276" s="8"/>
      <c r="D276" s="25" t="s">
        <v>2440</v>
      </c>
      <c r="E276" s="12" t="s">
        <v>1749</v>
      </c>
      <c r="F276" s="18" t="s">
        <v>1779</v>
      </c>
      <c r="G276" s="8"/>
      <c r="H276" s="8">
        <v>360</v>
      </c>
      <c r="I276" s="8">
        <v>180</v>
      </c>
      <c r="J276" s="8"/>
      <c r="K276" s="8">
        <f>+G276+H276+-I276</f>
        <v>180</v>
      </c>
      <c r="L276" s="8"/>
      <c r="M276" s="9">
        <v>370</v>
      </c>
      <c r="N276" s="9">
        <f t="shared" si="23"/>
        <v>66600</v>
      </c>
      <c r="O276" s="9"/>
      <c r="P276" s="9"/>
      <c r="Q276" s="10" t="s">
        <v>235</v>
      </c>
    </row>
    <row r="277" spans="1:17" s="11" customFormat="1" ht="39.950000000000003" customHeight="1" x14ac:dyDescent="0.3">
      <c r="A277" s="18" t="s">
        <v>797</v>
      </c>
      <c r="B277" s="19">
        <v>45783</v>
      </c>
      <c r="C277" s="20"/>
      <c r="D277" s="53" t="s">
        <v>2327</v>
      </c>
      <c r="E277" s="12" t="s">
        <v>2407</v>
      </c>
      <c r="F277" s="21" t="s">
        <v>1779</v>
      </c>
      <c r="G277" s="8"/>
      <c r="H277" s="8">
        <v>10</v>
      </c>
      <c r="I277" s="8"/>
      <c r="J277" s="8"/>
      <c r="K277" s="8">
        <f>+G277+H277-I277+J277</f>
        <v>10</v>
      </c>
      <c r="L277" s="8"/>
      <c r="M277" s="9">
        <v>247.18</v>
      </c>
      <c r="N277" s="9">
        <f t="shared" si="23"/>
        <v>2471.8000000000002</v>
      </c>
      <c r="O277" s="9"/>
      <c r="P277" s="9"/>
      <c r="Q277" s="10" t="s">
        <v>159</v>
      </c>
    </row>
    <row r="278" spans="1:17" s="11" customFormat="1" ht="39.950000000000003" customHeight="1" x14ac:dyDescent="0.3">
      <c r="A278" s="18" t="s">
        <v>798</v>
      </c>
      <c r="B278" s="23"/>
      <c r="C278" s="8"/>
      <c r="D278" s="25" t="s">
        <v>2385</v>
      </c>
      <c r="E278" s="12" t="s">
        <v>319</v>
      </c>
      <c r="F278" s="18" t="s">
        <v>1779</v>
      </c>
      <c r="G278" s="8">
        <v>5</v>
      </c>
      <c r="H278" s="8"/>
      <c r="I278" s="8">
        <v>0</v>
      </c>
      <c r="J278" s="8"/>
      <c r="K278" s="8">
        <f>+G278+H278+-I278</f>
        <v>5</v>
      </c>
      <c r="L278" s="8"/>
      <c r="M278" s="9">
        <v>324.43</v>
      </c>
      <c r="N278" s="9">
        <f t="shared" si="23"/>
        <v>1622.15</v>
      </c>
      <c r="O278" s="9"/>
      <c r="P278" s="9"/>
      <c r="Q278" s="10" t="s">
        <v>297</v>
      </c>
    </row>
    <row r="279" spans="1:17" s="11" customFormat="1" ht="39.950000000000003" customHeight="1" x14ac:dyDescent="0.3">
      <c r="A279" s="18" t="s">
        <v>799</v>
      </c>
      <c r="B279" s="23"/>
      <c r="C279" s="8"/>
      <c r="D279" s="25" t="s">
        <v>2440</v>
      </c>
      <c r="E279" s="12" t="s">
        <v>498</v>
      </c>
      <c r="F279" s="18" t="s">
        <v>1779</v>
      </c>
      <c r="G279" s="8">
        <v>17</v>
      </c>
      <c r="H279" s="8"/>
      <c r="I279" s="8">
        <f>1+2+2+2+3</f>
        <v>10</v>
      </c>
      <c r="J279" s="8"/>
      <c r="K279" s="8">
        <f>+G279+H279+-I279</f>
        <v>7</v>
      </c>
      <c r="L279" s="8"/>
      <c r="M279" s="9">
        <v>175</v>
      </c>
      <c r="N279" s="9">
        <f t="shared" si="23"/>
        <v>1225</v>
      </c>
      <c r="O279" s="9"/>
      <c r="P279" s="9"/>
      <c r="Q279" s="10" t="s">
        <v>496</v>
      </c>
    </row>
    <row r="280" spans="1:17" s="11" customFormat="1" ht="39.950000000000003" customHeight="1" x14ac:dyDescent="0.3">
      <c r="A280" s="18" t="s">
        <v>800</v>
      </c>
      <c r="B280" s="23" t="s">
        <v>1581</v>
      </c>
      <c r="C280" s="8"/>
      <c r="D280" s="25"/>
      <c r="E280" s="12" t="s">
        <v>1711</v>
      </c>
      <c r="F280" s="18" t="s">
        <v>1779</v>
      </c>
      <c r="G280" s="8"/>
      <c r="H280" s="8">
        <v>20</v>
      </c>
      <c r="I280" s="8">
        <v>2</v>
      </c>
      <c r="J280" s="8">
        <v>0</v>
      </c>
      <c r="K280" s="8">
        <f>+G280+H280-I280+J280</f>
        <v>18</v>
      </c>
      <c r="L280" s="8"/>
      <c r="M280" s="9">
        <v>120</v>
      </c>
      <c r="N280" s="9">
        <f>+L280*M280</f>
        <v>0</v>
      </c>
      <c r="O280" s="9"/>
      <c r="P280" s="9"/>
      <c r="Q280" s="10" t="s">
        <v>1887</v>
      </c>
    </row>
    <row r="281" spans="1:17" s="11" customFormat="1" ht="39.950000000000003" customHeight="1" x14ac:dyDescent="0.3">
      <c r="A281" s="18" t="s">
        <v>801</v>
      </c>
      <c r="B281" s="23">
        <v>45811</v>
      </c>
      <c r="C281" s="8">
        <v>30</v>
      </c>
      <c r="D281" s="25" t="s">
        <v>2318</v>
      </c>
      <c r="E281" s="12" t="s">
        <v>2158</v>
      </c>
      <c r="F281" s="18" t="s">
        <v>1779</v>
      </c>
      <c r="G281" s="8"/>
      <c r="H281" s="8">
        <v>6</v>
      </c>
      <c r="I281" s="8"/>
      <c r="J281" s="8"/>
      <c r="K281" s="8">
        <f>+G281+H281-I281+J281</f>
        <v>6</v>
      </c>
      <c r="L281" s="8"/>
      <c r="M281" s="9">
        <v>107</v>
      </c>
      <c r="N281" s="9">
        <f>+K281*M281</f>
        <v>642</v>
      </c>
      <c r="O281" s="9"/>
      <c r="P281" s="9"/>
      <c r="Q281" s="10" t="s">
        <v>2159</v>
      </c>
    </row>
    <row r="282" spans="1:17" s="11" customFormat="1" ht="39.950000000000003" customHeight="1" x14ac:dyDescent="0.3">
      <c r="A282" s="18" t="s">
        <v>802</v>
      </c>
      <c r="B282" s="23"/>
      <c r="C282" s="8"/>
      <c r="D282" s="25" t="s">
        <v>2385</v>
      </c>
      <c r="E282" s="12" t="s">
        <v>320</v>
      </c>
      <c r="F282" s="18" t="s">
        <v>1779</v>
      </c>
      <c r="G282" s="8">
        <f>72+7</f>
        <v>79</v>
      </c>
      <c r="H282" s="8"/>
      <c r="I282" s="8"/>
      <c r="J282" s="8"/>
      <c r="K282" s="8">
        <f>+G282+H282+-I282</f>
        <v>79</v>
      </c>
      <c r="L282" s="8"/>
      <c r="M282" s="9">
        <v>305</v>
      </c>
      <c r="N282" s="9">
        <f>+K282*M282</f>
        <v>24095</v>
      </c>
      <c r="O282" s="9"/>
      <c r="P282" s="9"/>
      <c r="Q282" s="10" t="s">
        <v>297</v>
      </c>
    </row>
    <row r="283" spans="1:17" s="11" customFormat="1" ht="39.950000000000003" customHeight="1" x14ac:dyDescent="0.3">
      <c r="A283" s="18" t="s">
        <v>803</v>
      </c>
      <c r="B283" s="19">
        <v>45813</v>
      </c>
      <c r="C283" s="20"/>
      <c r="D283" s="53" t="s">
        <v>2471</v>
      </c>
      <c r="E283" s="12" t="s">
        <v>2227</v>
      </c>
      <c r="F283" s="21" t="s">
        <v>1779</v>
      </c>
      <c r="G283" s="8"/>
      <c r="H283" s="8">
        <v>13</v>
      </c>
      <c r="I283" s="8">
        <f>1+2</f>
        <v>3</v>
      </c>
      <c r="J283" s="8"/>
      <c r="K283" s="8">
        <f>+G283+H283-I283+J283</f>
        <v>10</v>
      </c>
      <c r="L283" s="8"/>
      <c r="M283" s="9">
        <v>991</v>
      </c>
      <c r="N283" s="9"/>
      <c r="O283" s="9"/>
      <c r="P283" s="9"/>
      <c r="Q283" s="10" t="s">
        <v>1321</v>
      </c>
    </row>
    <row r="284" spans="1:17" s="11" customFormat="1" ht="39.950000000000003" customHeight="1" x14ac:dyDescent="0.3">
      <c r="A284" s="18" t="s">
        <v>804</v>
      </c>
      <c r="B284" s="23"/>
      <c r="C284" s="8"/>
      <c r="D284" s="25" t="s">
        <v>2319</v>
      </c>
      <c r="E284" s="12" t="s">
        <v>494</v>
      </c>
      <c r="F284" s="18" t="s">
        <v>1779</v>
      </c>
      <c r="G284" s="8">
        <v>2</v>
      </c>
      <c r="H284" s="8"/>
      <c r="I284" s="8"/>
      <c r="J284" s="8"/>
      <c r="K284" s="8">
        <f t="shared" ref="K284:K289" si="26">+G284+H284+-I284</f>
        <v>2</v>
      </c>
      <c r="L284" s="8"/>
      <c r="M284" s="9">
        <v>35</v>
      </c>
      <c r="N284" s="9">
        <f t="shared" ref="N284:N302" si="27">+K284*M284</f>
        <v>70</v>
      </c>
      <c r="O284" s="9"/>
      <c r="P284" s="9"/>
      <c r="Q284" s="10" t="s">
        <v>433</v>
      </c>
    </row>
    <row r="285" spans="1:17" s="11" customFormat="1" ht="39.950000000000003" customHeight="1" x14ac:dyDescent="0.3">
      <c r="A285" s="18" t="s">
        <v>805</v>
      </c>
      <c r="B285" s="23"/>
      <c r="C285" s="8"/>
      <c r="D285" s="25" t="s">
        <v>2319</v>
      </c>
      <c r="E285" s="12" t="s">
        <v>495</v>
      </c>
      <c r="F285" s="18" t="s">
        <v>1779</v>
      </c>
      <c r="G285" s="8">
        <v>2</v>
      </c>
      <c r="H285" s="8"/>
      <c r="I285" s="8"/>
      <c r="J285" s="8"/>
      <c r="K285" s="8">
        <f t="shared" si="26"/>
        <v>2</v>
      </c>
      <c r="L285" s="8"/>
      <c r="M285" s="9">
        <v>35</v>
      </c>
      <c r="N285" s="9">
        <f t="shared" si="27"/>
        <v>70</v>
      </c>
      <c r="O285" s="9"/>
      <c r="P285" s="9"/>
      <c r="Q285" s="10" t="s">
        <v>433</v>
      </c>
    </row>
    <row r="286" spans="1:17" s="11" customFormat="1" ht="39.950000000000003" customHeight="1" x14ac:dyDescent="0.3">
      <c r="A286" s="18" t="s">
        <v>806</v>
      </c>
      <c r="B286" s="23"/>
      <c r="C286" s="8"/>
      <c r="D286" s="25" t="s">
        <v>2319</v>
      </c>
      <c r="E286" s="12" t="s">
        <v>1399</v>
      </c>
      <c r="F286" s="18" t="s">
        <v>1779</v>
      </c>
      <c r="G286" s="8">
        <v>36</v>
      </c>
      <c r="H286" s="8"/>
      <c r="I286" s="8"/>
      <c r="J286" s="8"/>
      <c r="K286" s="8">
        <f t="shared" si="26"/>
        <v>36</v>
      </c>
      <c r="L286" s="8"/>
      <c r="M286" s="9">
        <v>80</v>
      </c>
      <c r="N286" s="9">
        <f t="shared" si="27"/>
        <v>2880</v>
      </c>
      <c r="O286" s="9"/>
      <c r="P286" s="9"/>
      <c r="Q286" s="10" t="s">
        <v>159</v>
      </c>
    </row>
    <row r="287" spans="1:17" s="11" customFormat="1" ht="39.950000000000003" customHeight="1" x14ac:dyDescent="0.3">
      <c r="A287" s="18" t="s">
        <v>807</v>
      </c>
      <c r="B287" s="23"/>
      <c r="C287" s="8"/>
      <c r="D287" s="25" t="s">
        <v>2319</v>
      </c>
      <c r="E287" s="12" t="s">
        <v>1398</v>
      </c>
      <c r="F287" s="18" t="s">
        <v>1779</v>
      </c>
      <c r="G287" s="8">
        <f>54.5-4</f>
        <v>50.5</v>
      </c>
      <c r="H287" s="8"/>
      <c r="I287" s="8">
        <f>50.5-48+3+2+0.5</f>
        <v>8</v>
      </c>
      <c r="J287" s="8"/>
      <c r="K287" s="8">
        <f t="shared" si="26"/>
        <v>42.5</v>
      </c>
      <c r="L287" s="8"/>
      <c r="M287" s="9">
        <v>91</v>
      </c>
      <c r="N287" s="9">
        <f t="shared" si="27"/>
        <v>3867.5</v>
      </c>
      <c r="O287" s="9"/>
      <c r="P287" s="9"/>
      <c r="Q287" s="10" t="s">
        <v>159</v>
      </c>
    </row>
    <row r="288" spans="1:17" s="11" customFormat="1" ht="39.950000000000003" customHeight="1" x14ac:dyDescent="0.3">
      <c r="A288" s="18" t="s">
        <v>808</v>
      </c>
      <c r="B288" s="23"/>
      <c r="C288" s="8"/>
      <c r="D288" s="25" t="s">
        <v>2319</v>
      </c>
      <c r="E288" s="12" t="s">
        <v>171</v>
      </c>
      <c r="F288" s="18" t="s">
        <v>1779</v>
      </c>
      <c r="G288" s="8">
        <v>35</v>
      </c>
      <c r="H288" s="8"/>
      <c r="I288" s="8">
        <v>2</v>
      </c>
      <c r="J288" s="8"/>
      <c r="K288" s="8">
        <f t="shared" si="26"/>
        <v>33</v>
      </c>
      <c r="L288" s="8"/>
      <c r="M288" s="9">
        <v>55</v>
      </c>
      <c r="N288" s="9">
        <f t="shared" si="27"/>
        <v>1815</v>
      </c>
      <c r="O288" s="9"/>
      <c r="P288" s="9"/>
      <c r="Q288" s="10" t="s">
        <v>159</v>
      </c>
    </row>
    <row r="289" spans="1:17" s="11" customFormat="1" ht="39.950000000000003" customHeight="1" x14ac:dyDescent="0.3">
      <c r="A289" s="18" t="s">
        <v>809</v>
      </c>
      <c r="B289" s="23"/>
      <c r="C289" s="8"/>
      <c r="D289" s="25" t="s">
        <v>2319</v>
      </c>
      <c r="E289" s="12" t="s">
        <v>172</v>
      </c>
      <c r="F289" s="18" t="s">
        <v>1779</v>
      </c>
      <c r="G289" s="8">
        <v>3</v>
      </c>
      <c r="H289" s="8"/>
      <c r="I289" s="8"/>
      <c r="J289" s="8"/>
      <c r="K289" s="8">
        <f t="shared" si="26"/>
        <v>3</v>
      </c>
      <c r="L289" s="8"/>
      <c r="M289" s="9">
        <v>57</v>
      </c>
      <c r="N289" s="9">
        <f t="shared" si="27"/>
        <v>171</v>
      </c>
      <c r="O289" s="9"/>
      <c r="P289" s="9"/>
      <c r="Q289" s="10" t="s">
        <v>159</v>
      </c>
    </row>
    <row r="290" spans="1:17" s="11" customFormat="1" ht="39.950000000000003" customHeight="1" x14ac:dyDescent="0.3">
      <c r="A290" s="18" t="s">
        <v>810</v>
      </c>
      <c r="B290" s="23"/>
      <c r="C290" s="8"/>
      <c r="D290" s="25"/>
      <c r="E290" s="12" t="s">
        <v>2201</v>
      </c>
      <c r="F290" s="18" t="s">
        <v>1779</v>
      </c>
      <c r="G290" s="8">
        <v>2</v>
      </c>
      <c r="H290" s="8"/>
      <c r="I290" s="8"/>
      <c r="J290" s="8"/>
      <c r="K290" s="8">
        <f>+G290+H290-I290</f>
        <v>2</v>
      </c>
      <c r="L290" s="8"/>
      <c r="M290" s="9">
        <v>341</v>
      </c>
      <c r="N290" s="9">
        <f t="shared" si="27"/>
        <v>682</v>
      </c>
      <c r="O290" s="9"/>
      <c r="P290" s="9"/>
      <c r="Q290" s="10" t="s">
        <v>1191</v>
      </c>
    </row>
    <row r="291" spans="1:17" s="11" customFormat="1" ht="39.950000000000003" customHeight="1" x14ac:dyDescent="0.3">
      <c r="A291" s="18" t="s">
        <v>811</v>
      </c>
      <c r="B291" s="23"/>
      <c r="C291" s="8"/>
      <c r="D291" s="25" t="s">
        <v>2385</v>
      </c>
      <c r="E291" s="12" t="s">
        <v>322</v>
      </c>
      <c r="F291" s="18" t="s">
        <v>1779</v>
      </c>
      <c r="G291" s="8">
        <v>0</v>
      </c>
      <c r="H291" s="8"/>
      <c r="I291" s="8">
        <v>0</v>
      </c>
      <c r="J291" s="8"/>
      <c r="K291" s="8">
        <f t="shared" ref="K291:K297" si="28">+G291+H291+-I291</f>
        <v>0</v>
      </c>
      <c r="L291" s="8"/>
      <c r="M291" s="9">
        <v>27</v>
      </c>
      <c r="N291" s="9">
        <f t="shared" si="27"/>
        <v>0</v>
      </c>
      <c r="O291" s="9"/>
      <c r="P291" s="9"/>
      <c r="Q291" s="10" t="s">
        <v>297</v>
      </c>
    </row>
    <row r="292" spans="1:17" s="11" customFormat="1" ht="39.950000000000003" customHeight="1" x14ac:dyDescent="0.3">
      <c r="A292" s="18" t="s">
        <v>812</v>
      </c>
      <c r="B292" s="23"/>
      <c r="C292" s="8"/>
      <c r="D292" s="25" t="s">
        <v>2385</v>
      </c>
      <c r="E292" s="12" t="s">
        <v>323</v>
      </c>
      <c r="F292" s="18" t="s">
        <v>1779</v>
      </c>
      <c r="G292" s="8">
        <v>23</v>
      </c>
      <c r="H292" s="8"/>
      <c r="I292" s="8">
        <v>2</v>
      </c>
      <c r="J292" s="8"/>
      <c r="K292" s="8">
        <f t="shared" si="28"/>
        <v>21</v>
      </c>
      <c r="L292" s="8"/>
      <c r="M292" s="9">
        <v>27.9</v>
      </c>
      <c r="N292" s="9">
        <f t="shared" si="27"/>
        <v>585.9</v>
      </c>
      <c r="O292" s="9"/>
      <c r="P292" s="9"/>
      <c r="Q292" s="10" t="s">
        <v>297</v>
      </c>
    </row>
    <row r="293" spans="1:17" s="11" customFormat="1" ht="39.950000000000003" customHeight="1" x14ac:dyDescent="0.3">
      <c r="A293" s="18" t="s">
        <v>813</v>
      </c>
      <c r="B293" s="23">
        <v>45499</v>
      </c>
      <c r="C293" s="8"/>
      <c r="D293" s="25" t="s">
        <v>2385</v>
      </c>
      <c r="E293" s="12" t="s">
        <v>324</v>
      </c>
      <c r="F293" s="18" t="s">
        <v>1779</v>
      </c>
      <c r="G293" s="8">
        <v>9</v>
      </c>
      <c r="H293" s="8"/>
      <c r="I293" s="8">
        <v>1</v>
      </c>
      <c r="J293" s="8"/>
      <c r="K293" s="8">
        <f t="shared" si="28"/>
        <v>8</v>
      </c>
      <c r="L293" s="8"/>
      <c r="M293" s="9">
        <v>127.65</v>
      </c>
      <c r="N293" s="9">
        <f t="shared" si="27"/>
        <v>1021.2</v>
      </c>
      <c r="O293" s="9"/>
      <c r="P293" s="9"/>
      <c r="Q293" s="10" t="s">
        <v>297</v>
      </c>
    </row>
    <row r="294" spans="1:17" s="11" customFormat="1" ht="39.950000000000003" customHeight="1" x14ac:dyDescent="0.3">
      <c r="A294" s="18" t="s">
        <v>814</v>
      </c>
      <c r="B294" s="23"/>
      <c r="C294" s="8"/>
      <c r="D294" s="25" t="s">
        <v>2385</v>
      </c>
      <c r="E294" s="12" t="s">
        <v>1231</v>
      </c>
      <c r="F294" s="18" t="s">
        <v>1779</v>
      </c>
      <c r="G294" s="8">
        <v>9</v>
      </c>
      <c r="H294" s="8"/>
      <c r="I294" s="8">
        <v>1</v>
      </c>
      <c r="J294" s="8"/>
      <c r="K294" s="8">
        <f t="shared" si="28"/>
        <v>8</v>
      </c>
      <c r="L294" s="8"/>
      <c r="M294" s="9">
        <v>108</v>
      </c>
      <c r="N294" s="9">
        <f t="shared" si="27"/>
        <v>864</v>
      </c>
      <c r="O294" s="9"/>
      <c r="P294" s="9"/>
      <c r="Q294" s="10" t="s">
        <v>297</v>
      </c>
    </row>
    <row r="295" spans="1:17" s="11" customFormat="1" ht="39.950000000000003" customHeight="1" x14ac:dyDescent="0.3">
      <c r="A295" s="18" t="s">
        <v>815</v>
      </c>
      <c r="B295" s="23"/>
      <c r="C295" s="8"/>
      <c r="D295" s="25" t="s">
        <v>2385</v>
      </c>
      <c r="E295" s="12" t="s">
        <v>325</v>
      </c>
      <c r="F295" s="18" t="s">
        <v>1779</v>
      </c>
      <c r="G295" s="8">
        <v>3</v>
      </c>
      <c r="H295" s="8"/>
      <c r="I295" s="8"/>
      <c r="J295" s="8"/>
      <c r="K295" s="8">
        <f t="shared" si="28"/>
        <v>3</v>
      </c>
      <c r="L295" s="8"/>
      <c r="M295" s="9">
        <v>155</v>
      </c>
      <c r="N295" s="9">
        <f t="shared" si="27"/>
        <v>465</v>
      </c>
      <c r="O295" s="9"/>
      <c r="P295" s="9"/>
      <c r="Q295" s="10" t="s">
        <v>297</v>
      </c>
    </row>
    <row r="296" spans="1:17" s="11" customFormat="1" ht="39.950000000000003" customHeight="1" x14ac:dyDescent="0.3">
      <c r="A296" s="18" t="s">
        <v>2453</v>
      </c>
      <c r="B296" s="23"/>
      <c r="C296" s="8"/>
      <c r="D296" s="25" t="s">
        <v>2385</v>
      </c>
      <c r="E296" s="12" t="s">
        <v>326</v>
      </c>
      <c r="F296" s="18" t="s">
        <v>1779</v>
      </c>
      <c r="G296" s="8">
        <v>2</v>
      </c>
      <c r="H296" s="8"/>
      <c r="I296" s="8">
        <v>1</v>
      </c>
      <c r="J296" s="8"/>
      <c r="K296" s="8">
        <f t="shared" si="28"/>
        <v>1</v>
      </c>
      <c r="L296" s="8"/>
      <c r="M296" s="9">
        <v>155</v>
      </c>
      <c r="N296" s="9">
        <f t="shared" si="27"/>
        <v>155</v>
      </c>
      <c r="O296" s="9"/>
      <c r="P296" s="9"/>
      <c r="Q296" s="10" t="s">
        <v>297</v>
      </c>
    </row>
    <row r="297" spans="1:17" s="11" customFormat="1" ht="39.950000000000003" customHeight="1" x14ac:dyDescent="0.3">
      <c r="A297" s="18" t="s">
        <v>816</v>
      </c>
      <c r="B297" s="23"/>
      <c r="C297" s="8"/>
      <c r="D297" s="25" t="s">
        <v>2385</v>
      </c>
      <c r="E297" s="12" t="s">
        <v>327</v>
      </c>
      <c r="F297" s="18" t="s">
        <v>1779</v>
      </c>
      <c r="G297" s="8">
        <v>1</v>
      </c>
      <c r="H297" s="8"/>
      <c r="I297" s="8">
        <v>1</v>
      </c>
      <c r="J297" s="8"/>
      <c r="K297" s="8">
        <f t="shared" si="28"/>
        <v>0</v>
      </c>
      <c r="L297" s="8"/>
      <c r="M297" s="9">
        <v>155</v>
      </c>
      <c r="N297" s="9">
        <f t="shared" si="27"/>
        <v>0</v>
      </c>
      <c r="O297" s="9"/>
      <c r="P297" s="9"/>
      <c r="Q297" s="10" t="s">
        <v>297</v>
      </c>
    </row>
    <row r="298" spans="1:17" s="11" customFormat="1" ht="39.950000000000003" customHeight="1" x14ac:dyDescent="0.3">
      <c r="A298" s="18" t="s">
        <v>817</v>
      </c>
      <c r="B298" s="23"/>
      <c r="C298" s="8"/>
      <c r="D298" s="25" t="s">
        <v>2438</v>
      </c>
      <c r="E298" s="12" t="s">
        <v>1557</v>
      </c>
      <c r="F298" s="18" t="s">
        <v>1779</v>
      </c>
      <c r="G298" s="8">
        <v>150</v>
      </c>
      <c r="H298" s="8"/>
      <c r="I298" s="8">
        <f>1+2+1+4+1+3+2+2+1+1+1+3+1+4+1</f>
        <v>28</v>
      </c>
      <c r="J298" s="8"/>
      <c r="K298" s="8">
        <f>+G298+H298-I298+J298</f>
        <v>122</v>
      </c>
      <c r="L298" s="8">
        <v>132</v>
      </c>
      <c r="M298" s="9">
        <v>70.8</v>
      </c>
      <c r="N298" s="9">
        <f t="shared" si="27"/>
        <v>8637.6</v>
      </c>
      <c r="O298" s="9"/>
      <c r="P298" s="9"/>
      <c r="Q298" s="10" t="s">
        <v>235</v>
      </c>
    </row>
    <row r="299" spans="1:17" s="11" customFormat="1" ht="39.950000000000003" customHeight="1" x14ac:dyDescent="0.3">
      <c r="A299" s="18" t="s">
        <v>818</v>
      </c>
      <c r="B299" s="19">
        <v>45783</v>
      </c>
      <c r="C299" s="20"/>
      <c r="D299" s="25" t="s">
        <v>2438</v>
      </c>
      <c r="E299" s="12" t="s">
        <v>2422</v>
      </c>
      <c r="F299" s="21" t="s">
        <v>1779</v>
      </c>
      <c r="G299" s="8"/>
      <c r="H299" s="8">
        <v>53</v>
      </c>
      <c r="I299" s="8"/>
      <c r="J299" s="8"/>
      <c r="K299" s="8">
        <f>+G299+H299-I299+J299</f>
        <v>53</v>
      </c>
      <c r="L299" s="8"/>
      <c r="M299" s="9"/>
      <c r="N299" s="9">
        <f t="shared" si="27"/>
        <v>0</v>
      </c>
      <c r="O299" s="9"/>
      <c r="P299" s="9"/>
      <c r="Q299" s="10" t="s">
        <v>235</v>
      </c>
    </row>
    <row r="300" spans="1:17" s="11" customFormat="1" ht="39.950000000000003" customHeight="1" x14ac:dyDescent="0.3">
      <c r="A300" s="18" t="s">
        <v>2508</v>
      </c>
      <c r="B300" s="23"/>
      <c r="C300" s="8"/>
      <c r="D300" s="25" t="s">
        <v>2438</v>
      </c>
      <c r="E300" s="12" t="s">
        <v>239</v>
      </c>
      <c r="F300" s="18" t="s">
        <v>1779</v>
      </c>
      <c r="G300" s="8">
        <f>6-2</f>
        <v>4</v>
      </c>
      <c r="H300" s="8"/>
      <c r="I300" s="8">
        <v>4</v>
      </c>
      <c r="J300" s="8"/>
      <c r="K300" s="8">
        <f>+G300+H300+-I300</f>
        <v>0</v>
      </c>
      <c r="L300" s="8"/>
      <c r="M300" s="9">
        <v>130</v>
      </c>
      <c r="N300" s="9">
        <f t="shared" si="27"/>
        <v>0</v>
      </c>
      <c r="O300" s="9"/>
      <c r="P300" s="9"/>
      <c r="Q300" s="10" t="s">
        <v>235</v>
      </c>
    </row>
    <row r="301" spans="1:17" s="11" customFormat="1" ht="39.950000000000003" customHeight="1" x14ac:dyDescent="0.3">
      <c r="A301" s="18" t="s">
        <v>819</v>
      </c>
      <c r="B301" s="23">
        <v>45414</v>
      </c>
      <c r="C301" s="8"/>
      <c r="D301" s="25" t="s">
        <v>2438</v>
      </c>
      <c r="E301" s="12" t="s">
        <v>238</v>
      </c>
      <c r="F301" s="18" t="s">
        <v>1779</v>
      </c>
      <c r="G301" s="8">
        <v>3</v>
      </c>
      <c r="H301" s="8"/>
      <c r="I301" s="8">
        <v>1</v>
      </c>
      <c r="J301" s="8"/>
      <c r="K301" s="8">
        <f>+G301+H301+-I301</f>
        <v>2</v>
      </c>
      <c r="L301" s="8"/>
      <c r="M301" s="9">
        <v>645</v>
      </c>
      <c r="N301" s="9">
        <f t="shared" si="27"/>
        <v>1290</v>
      </c>
      <c r="O301" s="9"/>
      <c r="P301" s="9"/>
      <c r="Q301" s="10" t="s">
        <v>235</v>
      </c>
    </row>
    <row r="302" spans="1:17" s="11" customFormat="1" ht="39.950000000000003" customHeight="1" x14ac:dyDescent="0.3">
      <c r="A302" s="18" t="s">
        <v>820</v>
      </c>
      <c r="B302" s="23">
        <v>45414</v>
      </c>
      <c r="C302" s="8"/>
      <c r="D302" s="25" t="s">
        <v>2438</v>
      </c>
      <c r="E302" s="12" t="s">
        <v>240</v>
      </c>
      <c r="F302" s="18" t="s">
        <v>1779</v>
      </c>
      <c r="G302" s="8">
        <v>99</v>
      </c>
      <c r="H302" s="8">
        <f>29-7</f>
        <v>22</v>
      </c>
      <c r="I302" s="8">
        <f>1+1+5+44+1+1+4+1+1+1+3+1+5+1+4+1+2+2+1+1+3+1+2+4+1</f>
        <v>92</v>
      </c>
      <c r="J302" s="8"/>
      <c r="K302" s="8">
        <f>+G302+H302+-I302</f>
        <v>29</v>
      </c>
      <c r="L302" s="8">
        <v>30</v>
      </c>
      <c r="M302" s="9">
        <v>61.36</v>
      </c>
      <c r="N302" s="9">
        <f t="shared" si="27"/>
        <v>1779.44</v>
      </c>
      <c r="O302" s="9"/>
      <c r="P302" s="9"/>
      <c r="Q302" s="10" t="s">
        <v>235</v>
      </c>
    </row>
    <row r="303" spans="1:17" s="11" customFormat="1" ht="39.950000000000003" customHeight="1" x14ac:dyDescent="0.3">
      <c r="A303" s="18" t="s">
        <v>821</v>
      </c>
      <c r="B303" s="23" t="s">
        <v>1581</v>
      </c>
      <c r="C303" s="8"/>
      <c r="D303" s="25"/>
      <c r="E303" s="12" t="s">
        <v>1697</v>
      </c>
      <c r="F303" s="18" t="s">
        <v>1779</v>
      </c>
      <c r="G303" s="8"/>
      <c r="H303" s="8">
        <v>5</v>
      </c>
      <c r="I303" s="8"/>
      <c r="J303" s="8">
        <v>0</v>
      </c>
      <c r="K303" s="8">
        <f>+G303+H303-I303+J303</f>
        <v>5</v>
      </c>
      <c r="L303" s="8"/>
      <c r="M303" s="9">
        <v>37.287999999999997</v>
      </c>
      <c r="N303" s="9">
        <f>+L303*M303</f>
        <v>0</v>
      </c>
      <c r="O303" s="9"/>
      <c r="P303" s="9"/>
      <c r="Q303" s="10" t="s">
        <v>1887</v>
      </c>
    </row>
    <row r="304" spans="1:17" s="11" customFormat="1" ht="39.950000000000003" customHeight="1" x14ac:dyDescent="0.3">
      <c r="A304" s="18" t="s">
        <v>822</v>
      </c>
      <c r="B304" s="23">
        <v>45681</v>
      </c>
      <c r="C304" s="8"/>
      <c r="D304" s="25"/>
      <c r="E304" s="12" t="s">
        <v>1796</v>
      </c>
      <c r="F304" s="18" t="s">
        <v>1797</v>
      </c>
      <c r="G304" s="8"/>
      <c r="H304" s="8"/>
      <c r="I304" s="8"/>
      <c r="J304" s="8">
        <v>2</v>
      </c>
      <c r="K304" s="8">
        <f>+G304+H304+-I304</f>
        <v>0</v>
      </c>
      <c r="L304" s="8"/>
      <c r="M304" s="9"/>
      <c r="N304" s="9">
        <f t="shared" ref="N304:N344" si="29">+K304*M304</f>
        <v>0</v>
      </c>
      <c r="O304" s="9"/>
      <c r="P304" s="9">
        <f>+K304*O304</f>
        <v>0</v>
      </c>
      <c r="Q304" s="10" t="s">
        <v>1798</v>
      </c>
    </row>
    <row r="305" spans="1:17" s="11" customFormat="1" ht="39.950000000000003" customHeight="1" x14ac:dyDescent="0.3">
      <c r="A305" s="18" t="s">
        <v>823</v>
      </c>
      <c r="B305" s="23">
        <v>45804</v>
      </c>
      <c r="C305" s="8"/>
      <c r="D305" s="25" t="s">
        <v>2321</v>
      </c>
      <c r="E305" s="12" t="s">
        <v>2030</v>
      </c>
      <c r="F305" s="18" t="s">
        <v>1779</v>
      </c>
      <c r="G305" s="8">
        <v>58</v>
      </c>
      <c r="H305" s="8">
        <v>60</v>
      </c>
      <c r="I305" s="8">
        <v>11</v>
      </c>
      <c r="J305" s="8"/>
      <c r="K305" s="8">
        <f>+G305+H305+-I305</f>
        <v>107</v>
      </c>
      <c r="L305" s="8"/>
      <c r="M305" s="9">
        <v>46</v>
      </c>
      <c r="N305" s="9">
        <f t="shared" si="29"/>
        <v>4922</v>
      </c>
      <c r="O305" s="9"/>
      <c r="P305" s="9"/>
      <c r="Q305" s="10" t="s">
        <v>433</v>
      </c>
    </row>
    <row r="306" spans="1:17" s="11" customFormat="1" ht="39.950000000000003" customHeight="1" x14ac:dyDescent="0.3">
      <c r="A306" s="18" t="s">
        <v>824</v>
      </c>
      <c r="B306" s="23">
        <v>45804</v>
      </c>
      <c r="C306" s="8"/>
      <c r="D306" s="25" t="s">
        <v>2321</v>
      </c>
      <c r="E306" s="12" t="s">
        <v>2031</v>
      </c>
      <c r="F306" s="18" t="s">
        <v>1779</v>
      </c>
      <c r="G306" s="8"/>
      <c r="H306" s="8">
        <v>100</v>
      </c>
      <c r="I306" s="8"/>
      <c r="J306" s="8"/>
      <c r="K306" s="8">
        <f>+G306+H306+-I306</f>
        <v>100</v>
      </c>
      <c r="L306" s="8"/>
      <c r="M306" s="9">
        <v>7</v>
      </c>
      <c r="N306" s="9">
        <f t="shared" si="29"/>
        <v>700</v>
      </c>
      <c r="O306" s="9"/>
      <c r="P306" s="9"/>
      <c r="Q306" s="10" t="s">
        <v>433</v>
      </c>
    </row>
    <row r="307" spans="1:17" s="11" customFormat="1" ht="39.950000000000003" customHeight="1" x14ac:dyDescent="0.3">
      <c r="A307" s="18" t="s">
        <v>825</v>
      </c>
      <c r="B307" s="23">
        <v>45804</v>
      </c>
      <c r="C307" s="8"/>
      <c r="D307" s="25" t="s">
        <v>2321</v>
      </c>
      <c r="E307" s="12" t="s">
        <v>2098</v>
      </c>
      <c r="F307" s="18" t="s">
        <v>1779</v>
      </c>
      <c r="G307" s="8"/>
      <c r="H307" s="8">
        <v>60</v>
      </c>
      <c r="I307" s="8"/>
      <c r="J307" s="8"/>
      <c r="K307" s="8">
        <f>+G307+H307+-I307</f>
        <v>60</v>
      </c>
      <c r="L307" s="8"/>
      <c r="M307" s="9">
        <v>183</v>
      </c>
      <c r="N307" s="9">
        <f t="shared" si="29"/>
        <v>10980</v>
      </c>
      <c r="O307" s="9"/>
      <c r="P307" s="9"/>
      <c r="Q307" s="10"/>
    </row>
    <row r="308" spans="1:17" s="11" customFormat="1" ht="39.950000000000003" customHeight="1" x14ac:dyDescent="0.3">
      <c r="A308" s="18" t="s">
        <v>826</v>
      </c>
      <c r="B308" s="23">
        <v>45414</v>
      </c>
      <c r="C308" s="8"/>
      <c r="D308" s="25" t="s">
        <v>2321</v>
      </c>
      <c r="E308" s="12" t="s">
        <v>1628</v>
      </c>
      <c r="F308" s="18" t="s">
        <v>1779</v>
      </c>
      <c r="G308" s="8">
        <v>19</v>
      </c>
      <c r="H308" s="8"/>
      <c r="I308" s="8">
        <f>2+1+1+3+4+5+1</f>
        <v>17</v>
      </c>
      <c r="J308" s="8"/>
      <c r="K308" s="8">
        <f>+G308+H308+-I308</f>
        <v>2</v>
      </c>
      <c r="L308" s="8"/>
      <c r="M308" s="9">
        <v>40</v>
      </c>
      <c r="N308" s="9">
        <f t="shared" si="29"/>
        <v>80</v>
      </c>
      <c r="O308" s="9"/>
      <c r="P308" s="9"/>
      <c r="Q308" s="10" t="s">
        <v>433</v>
      </c>
    </row>
    <row r="309" spans="1:17" s="11" customFormat="1" ht="39.950000000000003" customHeight="1" x14ac:dyDescent="0.3">
      <c r="A309" s="18" t="s">
        <v>827</v>
      </c>
      <c r="B309" s="23">
        <v>45499</v>
      </c>
      <c r="C309" s="8"/>
      <c r="D309" s="25" t="s">
        <v>2321</v>
      </c>
      <c r="E309" s="12" t="s">
        <v>1630</v>
      </c>
      <c r="F309" s="18" t="s">
        <v>1779</v>
      </c>
      <c r="G309" s="8">
        <v>1</v>
      </c>
      <c r="H309" s="8"/>
      <c r="I309" s="8"/>
      <c r="J309" s="8"/>
      <c r="K309" s="8">
        <f>+G309+H309-I309</f>
        <v>1</v>
      </c>
      <c r="L309" s="8"/>
      <c r="M309" s="9">
        <v>45</v>
      </c>
      <c r="N309" s="9">
        <f t="shared" si="29"/>
        <v>45</v>
      </c>
      <c r="O309" s="9"/>
      <c r="P309" s="9"/>
      <c r="Q309" s="10" t="s">
        <v>433</v>
      </c>
    </row>
    <row r="310" spans="1:17" s="11" customFormat="1" ht="39.950000000000003" customHeight="1" x14ac:dyDescent="0.3">
      <c r="A310" s="18" t="s">
        <v>828</v>
      </c>
      <c r="B310" s="23">
        <v>45804</v>
      </c>
      <c r="C310" s="8"/>
      <c r="D310" s="25" t="s">
        <v>2321</v>
      </c>
      <c r="E310" s="12" t="s">
        <v>2026</v>
      </c>
      <c r="F310" s="18" t="s">
        <v>1779</v>
      </c>
      <c r="G310" s="8">
        <v>1</v>
      </c>
      <c r="H310" s="8">
        <v>60</v>
      </c>
      <c r="I310" s="8"/>
      <c r="J310" s="8"/>
      <c r="K310" s="8">
        <f>+G310+H310-I310</f>
        <v>61</v>
      </c>
      <c r="L310" s="8"/>
      <c r="M310" s="9">
        <v>13</v>
      </c>
      <c r="N310" s="9">
        <f t="shared" si="29"/>
        <v>793</v>
      </c>
      <c r="O310" s="9"/>
      <c r="P310" s="9"/>
      <c r="Q310" s="10" t="s">
        <v>433</v>
      </c>
    </row>
    <row r="311" spans="1:17" s="11" customFormat="1" ht="39.950000000000003" customHeight="1" x14ac:dyDescent="0.3">
      <c r="A311" s="18" t="s">
        <v>2509</v>
      </c>
      <c r="B311" s="23"/>
      <c r="C311" s="8"/>
      <c r="D311" s="25" t="s">
        <v>2321</v>
      </c>
      <c r="E311" s="12" t="s">
        <v>1632</v>
      </c>
      <c r="F311" s="18" t="s">
        <v>1779</v>
      </c>
      <c r="G311" s="8">
        <v>5</v>
      </c>
      <c r="H311" s="8"/>
      <c r="I311" s="8"/>
      <c r="J311" s="8"/>
      <c r="K311" s="8">
        <f>+G311+H311-I311</f>
        <v>5</v>
      </c>
      <c r="L311" s="8"/>
      <c r="M311" s="9">
        <v>10</v>
      </c>
      <c r="N311" s="9">
        <f t="shared" si="29"/>
        <v>50</v>
      </c>
      <c r="O311" s="9"/>
      <c r="P311" s="9"/>
      <c r="Q311" s="10" t="s">
        <v>433</v>
      </c>
    </row>
    <row r="312" spans="1:17" s="11" customFormat="1" ht="39.950000000000003" customHeight="1" x14ac:dyDescent="0.3">
      <c r="A312" s="18" t="s">
        <v>829</v>
      </c>
      <c r="B312" s="23">
        <v>45804</v>
      </c>
      <c r="C312" s="8"/>
      <c r="D312" s="25" t="s">
        <v>2321</v>
      </c>
      <c r="E312" s="12" t="s">
        <v>2027</v>
      </c>
      <c r="F312" s="18" t="s">
        <v>1779</v>
      </c>
      <c r="G312" s="8"/>
      <c r="H312" s="8">
        <v>60</v>
      </c>
      <c r="I312" s="8"/>
      <c r="J312" s="8"/>
      <c r="K312" s="8">
        <f>+G312+H312+-I312</f>
        <v>60</v>
      </c>
      <c r="L312" s="8"/>
      <c r="M312" s="9">
        <v>15</v>
      </c>
      <c r="N312" s="9">
        <f t="shared" si="29"/>
        <v>900</v>
      </c>
      <c r="O312" s="9"/>
      <c r="P312" s="9"/>
      <c r="Q312" s="10" t="s">
        <v>433</v>
      </c>
    </row>
    <row r="313" spans="1:17" s="11" customFormat="1" ht="39.950000000000003" customHeight="1" x14ac:dyDescent="0.3">
      <c r="A313" s="18" t="s">
        <v>830</v>
      </c>
      <c r="B313" s="23">
        <v>45804</v>
      </c>
      <c r="C313" s="8"/>
      <c r="D313" s="25" t="s">
        <v>2321</v>
      </c>
      <c r="E313" s="12" t="s">
        <v>2029</v>
      </c>
      <c r="F313" s="18" t="s">
        <v>1779</v>
      </c>
      <c r="G313" s="8">
        <v>0</v>
      </c>
      <c r="H313" s="8">
        <v>91</v>
      </c>
      <c r="I313" s="8">
        <v>30</v>
      </c>
      <c r="J313" s="8"/>
      <c r="K313" s="8">
        <f>+G313+H313+-I313</f>
        <v>61</v>
      </c>
      <c r="L313" s="8"/>
      <c r="M313" s="9">
        <v>11.24</v>
      </c>
      <c r="N313" s="9">
        <f t="shared" si="29"/>
        <v>685.64</v>
      </c>
      <c r="O313" s="9"/>
      <c r="P313" s="9"/>
      <c r="Q313" s="10" t="s">
        <v>433</v>
      </c>
    </row>
    <row r="314" spans="1:17" s="11" customFormat="1" ht="39.950000000000003" customHeight="1" x14ac:dyDescent="0.3">
      <c r="A314" s="18" t="s">
        <v>831</v>
      </c>
      <c r="B314" s="23"/>
      <c r="C314" s="8"/>
      <c r="D314" s="25" t="s">
        <v>2321</v>
      </c>
      <c r="E314" s="12" t="s">
        <v>1627</v>
      </c>
      <c r="F314" s="18" t="s">
        <v>1779</v>
      </c>
      <c r="G314" s="8">
        <v>45</v>
      </c>
      <c r="H314" s="8"/>
      <c r="I314" s="8">
        <f>1+1+4</f>
        <v>6</v>
      </c>
      <c r="J314" s="8"/>
      <c r="K314" s="8">
        <f>+G314+H314+-I314</f>
        <v>39</v>
      </c>
      <c r="L314" s="8"/>
      <c r="M314" s="9">
        <v>64.319999999999993</v>
      </c>
      <c r="N314" s="9">
        <f t="shared" si="29"/>
        <v>2508.4799999999996</v>
      </c>
      <c r="O314" s="9"/>
      <c r="P314" s="9"/>
      <c r="Q314" s="10" t="s">
        <v>433</v>
      </c>
    </row>
    <row r="315" spans="1:17" s="11" customFormat="1" ht="39.950000000000003" customHeight="1" x14ac:dyDescent="0.3">
      <c r="A315" s="18" t="s">
        <v>832</v>
      </c>
      <c r="B315" s="23">
        <v>45804</v>
      </c>
      <c r="C315" s="8"/>
      <c r="D315" s="25" t="s">
        <v>2321</v>
      </c>
      <c r="E315" s="12" t="s">
        <v>2028</v>
      </c>
      <c r="F315" s="18" t="s">
        <v>1779</v>
      </c>
      <c r="G315" s="8"/>
      <c r="H315" s="8">
        <v>60</v>
      </c>
      <c r="I315" s="8"/>
      <c r="J315" s="8"/>
      <c r="K315" s="8">
        <f>+G315+H315-I315+J315</f>
        <v>60</v>
      </c>
      <c r="L315" s="8"/>
      <c r="M315" s="9">
        <v>59</v>
      </c>
      <c r="N315" s="9">
        <f t="shared" si="29"/>
        <v>3540</v>
      </c>
      <c r="O315" s="9"/>
      <c r="P315" s="9"/>
      <c r="Q315" s="10" t="s">
        <v>433</v>
      </c>
    </row>
    <row r="316" spans="1:17" s="11" customFormat="1" ht="39.950000000000003" customHeight="1" x14ac:dyDescent="0.3">
      <c r="A316" s="18" t="s">
        <v>833</v>
      </c>
      <c r="B316" s="23"/>
      <c r="C316" s="8"/>
      <c r="D316" s="25" t="s">
        <v>2321</v>
      </c>
      <c r="E316" s="12" t="s">
        <v>446</v>
      </c>
      <c r="F316" s="18" t="s">
        <v>1779</v>
      </c>
      <c r="G316" s="8">
        <v>3</v>
      </c>
      <c r="H316" s="8"/>
      <c r="I316" s="8">
        <v>2</v>
      </c>
      <c r="J316" s="8"/>
      <c r="K316" s="8">
        <f>+G316+H316+-I316</f>
        <v>1</v>
      </c>
      <c r="L316" s="8"/>
      <c r="M316" s="9">
        <v>60</v>
      </c>
      <c r="N316" s="9">
        <f t="shared" si="29"/>
        <v>60</v>
      </c>
      <c r="O316" s="9"/>
      <c r="P316" s="9"/>
      <c r="Q316" s="10" t="s">
        <v>433</v>
      </c>
    </row>
    <row r="317" spans="1:17" s="11" customFormat="1" ht="39.950000000000003" customHeight="1" x14ac:dyDescent="0.3">
      <c r="A317" s="18" t="s">
        <v>834</v>
      </c>
      <c r="B317" s="23" t="s">
        <v>1997</v>
      </c>
      <c r="C317" s="8">
        <v>30</v>
      </c>
      <c r="D317" s="25" t="s">
        <v>2321</v>
      </c>
      <c r="E317" s="12" t="s">
        <v>1998</v>
      </c>
      <c r="F317" s="18" t="s">
        <v>1779</v>
      </c>
      <c r="G317" s="8"/>
      <c r="H317" s="8">
        <v>60</v>
      </c>
      <c r="I317" s="8"/>
      <c r="J317" s="8"/>
      <c r="K317" s="8">
        <f>+G317+H317-I317+J317</f>
        <v>60</v>
      </c>
      <c r="L317" s="8"/>
      <c r="M317" s="9">
        <v>8</v>
      </c>
      <c r="N317" s="9">
        <f t="shared" si="29"/>
        <v>480</v>
      </c>
      <c r="O317" s="9"/>
      <c r="P317" s="9"/>
      <c r="Q317" s="10" t="s">
        <v>433</v>
      </c>
    </row>
    <row r="318" spans="1:17" s="11" customFormat="1" ht="39.950000000000003" customHeight="1" x14ac:dyDescent="0.3">
      <c r="A318" s="18" t="s">
        <v>835</v>
      </c>
      <c r="B318" s="23"/>
      <c r="C318" s="8"/>
      <c r="D318" s="25" t="s">
        <v>2321</v>
      </c>
      <c r="E318" s="10" t="s">
        <v>2520</v>
      </c>
      <c r="F318" s="18" t="s">
        <v>1779</v>
      </c>
      <c r="G318" s="8">
        <v>1</v>
      </c>
      <c r="H318" s="8"/>
      <c r="I318" s="8"/>
      <c r="J318" s="8"/>
      <c r="K318" s="8">
        <f>+G318+H318+-I318</f>
        <v>1</v>
      </c>
      <c r="L318" s="8"/>
      <c r="M318" s="9"/>
      <c r="N318" s="9">
        <f t="shared" si="29"/>
        <v>0</v>
      </c>
      <c r="O318" s="9">
        <v>40</v>
      </c>
      <c r="P318" s="9">
        <f>+O318*K318</f>
        <v>40</v>
      </c>
      <c r="Q318" s="10" t="s">
        <v>433</v>
      </c>
    </row>
    <row r="319" spans="1:17" s="11" customFormat="1" ht="39.950000000000003" customHeight="1" x14ac:dyDescent="0.3">
      <c r="A319" s="18" t="s">
        <v>836</v>
      </c>
      <c r="B319" s="23" t="s">
        <v>1997</v>
      </c>
      <c r="C319" s="8">
        <v>30</v>
      </c>
      <c r="D319" s="25" t="s">
        <v>2321</v>
      </c>
      <c r="E319" s="12" t="s">
        <v>1999</v>
      </c>
      <c r="F319" s="18" t="s">
        <v>1779</v>
      </c>
      <c r="G319" s="8"/>
      <c r="H319" s="8">
        <f>100+200</f>
        <v>300</v>
      </c>
      <c r="I319" s="8">
        <v>3</v>
      </c>
      <c r="J319" s="8"/>
      <c r="K319" s="8">
        <f>+G319+H319-I319+J319</f>
        <v>297</v>
      </c>
      <c r="L319" s="8"/>
      <c r="M319" s="9">
        <v>9</v>
      </c>
      <c r="N319" s="9">
        <f t="shared" si="29"/>
        <v>2673</v>
      </c>
      <c r="O319" s="9"/>
      <c r="P319" s="9"/>
      <c r="Q319" s="10" t="s">
        <v>433</v>
      </c>
    </row>
    <row r="320" spans="1:17" s="11" customFormat="1" ht="39.950000000000003" customHeight="1" x14ac:dyDescent="0.3">
      <c r="A320" s="18" t="s">
        <v>837</v>
      </c>
      <c r="B320" s="23"/>
      <c r="C320" s="8"/>
      <c r="D320" s="25" t="s">
        <v>2321</v>
      </c>
      <c r="E320" s="12" t="s">
        <v>1305</v>
      </c>
      <c r="F320" s="18" t="s">
        <v>1779</v>
      </c>
      <c r="G320" s="8">
        <v>5</v>
      </c>
      <c r="H320" s="8">
        <v>0</v>
      </c>
      <c r="I320" s="8">
        <v>4</v>
      </c>
      <c r="J320" s="8"/>
      <c r="K320" s="8">
        <f>+G320+H320-I320+J320</f>
        <v>1</v>
      </c>
      <c r="L320" s="8"/>
      <c r="M320" s="9">
        <v>362.17</v>
      </c>
      <c r="N320" s="9">
        <f t="shared" si="29"/>
        <v>362.17</v>
      </c>
      <c r="O320" s="9"/>
      <c r="P320" s="54"/>
      <c r="Q320" s="55" t="s">
        <v>433</v>
      </c>
    </row>
    <row r="321" spans="1:17" s="11" customFormat="1" ht="39.950000000000003" customHeight="1" x14ac:dyDescent="0.3">
      <c r="A321" s="18" t="s">
        <v>838</v>
      </c>
      <c r="B321" s="23">
        <v>45803</v>
      </c>
      <c r="C321" s="8">
        <v>10</v>
      </c>
      <c r="D321" s="25" t="s">
        <v>2322</v>
      </c>
      <c r="E321" s="12" t="s">
        <v>2015</v>
      </c>
      <c r="F321" s="18" t="s">
        <v>1780</v>
      </c>
      <c r="G321" s="8"/>
      <c r="H321" s="8">
        <v>1</v>
      </c>
      <c r="I321" s="8"/>
      <c r="J321" s="8"/>
      <c r="K321" s="8">
        <f>+G321+H321-I321+J321</f>
        <v>1</v>
      </c>
      <c r="L321" s="8"/>
      <c r="M321" s="9">
        <v>937</v>
      </c>
      <c r="N321" s="9">
        <f t="shared" si="29"/>
        <v>937</v>
      </c>
      <c r="O321" s="9"/>
      <c r="P321" s="9"/>
      <c r="Q321" s="10" t="s">
        <v>1191</v>
      </c>
    </row>
    <row r="322" spans="1:17" s="11" customFormat="1" ht="39.950000000000003" customHeight="1" x14ac:dyDescent="0.3">
      <c r="A322" s="18" t="s">
        <v>839</v>
      </c>
      <c r="B322" s="23"/>
      <c r="C322" s="8"/>
      <c r="D322" s="53" t="s">
        <v>2394</v>
      </c>
      <c r="E322" s="12" t="s">
        <v>59</v>
      </c>
      <c r="F322" s="18" t="s">
        <v>1779</v>
      </c>
      <c r="G322" s="8">
        <v>3</v>
      </c>
      <c r="H322" s="8"/>
      <c r="I322" s="8"/>
      <c r="J322" s="8"/>
      <c r="K322" s="8">
        <f>+G322+H322-I322</f>
        <v>3</v>
      </c>
      <c r="L322" s="8"/>
      <c r="M322" s="9">
        <v>719.2</v>
      </c>
      <c r="N322" s="9">
        <f t="shared" si="29"/>
        <v>2157.6000000000004</v>
      </c>
      <c r="O322" s="9"/>
      <c r="P322" s="9"/>
      <c r="Q322" s="10" t="s">
        <v>25</v>
      </c>
    </row>
    <row r="323" spans="1:17" s="11" customFormat="1" ht="39.950000000000003" customHeight="1" x14ac:dyDescent="0.3">
      <c r="A323" s="18" t="s">
        <v>840</v>
      </c>
      <c r="B323" s="19" t="s">
        <v>2303</v>
      </c>
      <c r="C323" s="20"/>
      <c r="D323" s="53" t="s">
        <v>2479</v>
      </c>
      <c r="E323" s="12" t="s">
        <v>2499</v>
      </c>
      <c r="F323" s="21" t="s">
        <v>2480</v>
      </c>
      <c r="G323" s="8"/>
      <c r="H323" s="8">
        <v>300</v>
      </c>
      <c r="I323" s="8"/>
      <c r="J323" s="8"/>
      <c r="K323" s="8">
        <f>+G323+H323-I323+J323</f>
        <v>300</v>
      </c>
      <c r="L323" s="8"/>
      <c r="M323" s="9">
        <v>4.5784000000000002</v>
      </c>
      <c r="N323" s="9">
        <f t="shared" si="29"/>
        <v>1373.52</v>
      </c>
      <c r="O323" s="9"/>
      <c r="P323" s="9"/>
      <c r="Q323" s="10" t="s">
        <v>25</v>
      </c>
    </row>
    <row r="324" spans="1:17" s="11" customFormat="1" ht="39.950000000000003" customHeight="1" x14ac:dyDescent="0.3">
      <c r="A324" s="18" t="s">
        <v>841</v>
      </c>
      <c r="B324" s="23"/>
      <c r="C324" s="8"/>
      <c r="D324" s="53" t="s">
        <v>2394</v>
      </c>
      <c r="E324" s="12" t="s">
        <v>60</v>
      </c>
      <c r="F324" s="18" t="s">
        <v>1779</v>
      </c>
      <c r="G324" s="8">
        <f>370-70-45</f>
        <v>255</v>
      </c>
      <c r="H324" s="8"/>
      <c r="I324" s="8">
        <v>255</v>
      </c>
      <c r="J324" s="8"/>
      <c r="K324" s="8">
        <f>+G324+H324-I324</f>
        <v>0</v>
      </c>
      <c r="L324" s="8"/>
      <c r="M324" s="9">
        <v>415</v>
      </c>
      <c r="N324" s="9">
        <f t="shared" si="29"/>
        <v>0</v>
      </c>
      <c r="O324" s="9"/>
      <c r="P324" s="9"/>
      <c r="Q324" s="10" t="s">
        <v>25</v>
      </c>
    </row>
    <row r="325" spans="1:17" s="11" customFormat="1" ht="39.75" customHeight="1" x14ac:dyDescent="0.3">
      <c r="A325" s="18" t="s">
        <v>842</v>
      </c>
      <c r="B325" s="23">
        <v>45799</v>
      </c>
      <c r="C325" s="8"/>
      <c r="D325" s="25" t="s">
        <v>2321</v>
      </c>
      <c r="E325" s="12" t="s">
        <v>1863</v>
      </c>
      <c r="F325" s="18" t="s">
        <v>1779</v>
      </c>
      <c r="G325" s="8"/>
      <c r="H325" s="8">
        <v>20</v>
      </c>
      <c r="I325" s="8"/>
      <c r="J325" s="8"/>
      <c r="K325" s="8">
        <f>+G325+H325+-I325</f>
        <v>20</v>
      </c>
      <c r="L325" s="8"/>
      <c r="M325" s="9">
        <v>472</v>
      </c>
      <c r="N325" s="9">
        <f t="shared" si="29"/>
        <v>9440</v>
      </c>
      <c r="O325" s="9"/>
      <c r="P325" s="9"/>
      <c r="Q325" s="10" t="s">
        <v>433</v>
      </c>
    </row>
    <row r="326" spans="1:17" s="11" customFormat="1" ht="39.950000000000003" customHeight="1" x14ac:dyDescent="0.3">
      <c r="A326" s="18" t="s">
        <v>843</v>
      </c>
      <c r="B326" s="19" t="s">
        <v>2303</v>
      </c>
      <c r="C326" s="20"/>
      <c r="D326" s="53" t="s">
        <v>2394</v>
      </c>
      <c r="E326" s="12" t="s">
        <v>2377</v>
      </c>
      <c r="F326" s="18" t="s">
        <v>1779</v>
      </c>
      <c r="G326" s="8"/>
      <c r="H326" s="8">
        <v>15</v>
      </c>
      <c r="I326" s="8"/>
      <c r="J326" s="8"/>
      <c r="K326" s="8">
        <f>+G326+H326-I326+J326</f>
        <v>15</v>
      </c>
      <c r="L326" s="8"/>
      <c r="M326" s="9">
        <v>47.813600000000001</v>
      </c>
      <c r="N326" s="9">
        <f t="shared" si="29"/>
        <v>717.20400000000006</v>
      </c>
      <c r="O326" s="9"/>
      <c r="P326" s="9"/>
      <c r="Q326" s="10" t="s">
        <v>25</v>
      </c>
    </row>
    <row r="327" spans="1:17" s="11" customFormat="1" ht="39.950000000000003" customHeight="1" x14ac:dyDescent="0.3">
      <c r="A327" s="18" t="s">
        <v>844</v>
      </c>
      <c r="B327" s="19" t="s">
        <v>2303</v>
      </c>
      <c r="C327" s="20"/>
      <c r="D327" s="53" t="s">
        <v>2394</v>
      </c>
      <c r="E327" s="12" t="s">
        <v>2376</v>
      </c>
      <c r="F327" s="18" t="s">
        <v>1779</v>
      </c>
      <c r="G327" s="8"/>
      <c r="H327" s="8">
        <v>15</v>
      </c>
      <c r="I327" s="8"/>
      <c r="J327" s="8"/>
      <c r="K327" s="8">
        <f>+G327+H327-I327+J327</f>
        <v>15</v>
      </c>
      <c r="L327" s="8"/>
      <c r="M327" s="9">
        <v>41.654000000000003</v>
      </c>
      <c r="N327" s="9">
        <f t="shared" si="29"/>
        <v>624.81000000000006</v>
      </c>
      <c r="O327" s="9"/>
      <c r="P327" s="9"/>
      <c r="Q327" s="10" t="s">
        <v>25</v>
      </c>
    </row>
    <row r="328" spans="1:17" s="11" customFormat="1" ht="39.950000000000003" customHeight="1" x14ac:dyDescent="0.3">
      <c r="A328" s="18" t="s">
        <v>845</v>
      </c>
      <c r="B328" s="23">
        <v>45797</v>
      </c>
      <c r="C328" s="8"/>
      <c r="D328" s="25" t="s">
        <v>2321</v>
      </c>
      <c r="E328" s="12" t="s">
        <v>1824</v>
      </c>
      <c r="F328" s="18" t="s">
        <v>1779</v>
      </c>
      <c r="G328" s="8"/>
      <c r="H328" s="8">
        <v>20</v>
      </c>
      <c r="I328" s="8"/>
      <c r="J328" s="8"/>
      <c r="K328" s="8">
        <f>+G328+H328+-I328</f>
        <v>20</v>
      </c>
      <c r="L328" s="8"/>
      <c r="M328" s="9">
        <v>59</v>
      </c>
      <c r="N328" s="9">
        <f t="shared" si="29"/>
        <v>1180</v>
      </c>
      <c r="O328" s="9"/>
      <c r="P328" s="9"/>
      <c r="Q328" s="10" t="s">
        <v>433</v>
      </c>
    </row>
    <row r="329" spans="1:17" s="11" customFormat="1" ht="39.950000000000003" customHeight="1" x14ac:dyDescent="0.3">
      <c r="A329" s="18" t="s">
        <v>846</v>
      </c>
      <c r="B329" s="23">
        <v>45797</v>
      </c>
      <c r="C329" s="8"/>
      <c r="D329" s="25" t="s">
        <v>2321</v>
      </c>
      <c r="E329" s="12" t="s">
        <v>1823</v>
      </c>
      <c r="F329" s="18" t="s">
        <v>1779</v>
      </c>
      <c r="G329" s="8"/>
      <c r="H329" s="8">
        <v>20</v>
      </c>
      <c r="I329" s="8"/>
      <c r="J329" s="8"/>
      <c r="K329" s="8">
        <f>+G329+H329+-I329</f>
        <v>20</v>
      </c>
      <c r="L329" s="8"/>
      <c r="M329" s="9">
        <v>59</v>
      </c>
      <c r="N329" s="9">
        <f t="shared" si="29"/>
        <v>1180</v>
      </c>
      <c r="O329" s="9"/>
      <c r="P329" s="9"/>
      <c r="Q329" s="10" t="s">
        <v>433</v>
      </c>
    </row>
    <row r="330" spans="1:17" s="11" customFormat="1" ht="39.950000000000003" customHeight="1" x14ac:dyDescent="0.3">
      <c r="A330" s="18" t="s">
        <v>847</v>
      </c>
      <c r="B330" s="23"/>
      <c r="C330" s="8"/>
      <c r="D330" s="25" t="s">
        <v>2321</v>
      </c>
      <c r="E330" s="12" t="s">
        <v>1228</v>
      </c>
      <c r="F330" s="18" t="s">
        <v>1779</v>
      </c>
      <c r="G330" s="8">
        <v>8</v>
      </c>
      <c r="H330" s="8"/>
      <c r="I330" s="8"/>
      <c r="J330" s="8"/>
      <c r="K330" s="8">
        <f>+G330+H330+-I330</f>
        <v>8</v>
      </c>
      <c r="L330" s="8"/>
      <c r="M330" s="9">
        <v>79</v>
      </c>
      <c r="N330" s="9">
        <f t="shared" si="29"/>
        <v>632</v>
      </c>
      <c r="O330" s="9"/>
      <c r="P330" s="9"/>
      <c r="Q330" s="10" t="s">
        <v>433</v>
      </c>
    </row>
    <row r="331" spans="1:17" s="11" customFormat="1" ht="39.950000000000003" customHeight="1" x14ac:dyDescent="0.3">
      <c r="A331" s="18" t="s">
        <v>848</v>
      </c>
      <c r="B331" s="23"/>
      <c r="C331" s="8"/>
      <c r="D331" s="25"/>
      <c r="E331" s="12" t="s">
        <v>173</v>
      </c>
      <c r="F331" s="18" t="s">
        <v>1779</v>
      </c>
      <c r="G331" s="8">
        <f>97+4+1</f>
        <v>102</v>
      </c>
      <c r="H331" s="8"/>
      <c r="I331" s="8"/>
      <c r="J331" s="8"/>
      <c r="K331" s="8">
        <f>+G331+H331+-I331</f>
        <v>102</v>
      </c>
      <c r="L331" s="8"/>
      <c r="M331" s="9">
        <v>40</v>
      </c>
      <c r="N331" s="9">
        <f t="shared" si="29"/>
        <v>4080</v>
      </c>
      <c r="O331" s="9"/>
      <c r="P331" s="9"/>
      <c r="Q331" s="10" t="s">
        <v>159</v>
      </c>
    </row>
    <row r="332" spans="1:17" s="11" customFormat="1" ht="39.950000000000003" customHeight="1" x14ac:dyDescent="0.3">
      <c r="A332" s="18" t="s">
        <v>849</v>
      </c>
      <c r="B332" s="23">
        <v>45514</v>
      </c>
      <c r="C332" s="8">
        <v>10</v>
      </c>
      <c r="D332" s="53" t="s">
        <v>2394</v>
      </c>
      <c r="E332" s="12" t="s">
        <v>61</v>
      </c>
      <c r="F332" s="18" t="s">
        <v>1779</v>
      </c>
      <c r="G332" s="8">
        <v>6</v>
      </c>
      <c r="H332" s="8"/>
      <c r="I332" s="8"/>
      <c r="J332" s="8"/>
      <c r="K332" s="8">
        <f>+G332+H332-I332</f>
        <v>6</v>
      </c>
      <c r="L332" s="8"/>
      <c r="M332" s="9">
        <v>60</v>
      </c>
      <c r="N332" s="9">
        <f t="shared" si="29"/>
        <v>360</v>
      </c>
      <c r="O332" s="9"/>
      <c r="P332" s="9"/>
      <c r="Q332" s="10" t="s">
        <v>25</v>
      </c>
    </row>
    <row r="333" spans="1:17" s="11" customFormat="1" ht="39.950000000000003" customHeight="1" x14ac:dyDescent="0.3">
      <c r="A333" s="18" t="s">
        <v>850</v>
      </c>
      <c r="B333" s="23">
        <v>45499</v>
      </c>
      <c r="C333" s="8">
        <v>10</v>
      </c>
      <c r="D333" s="53" t="s">
        <v>2394</v>
      </c>
      <c r="E333" s="12" t="s">
        <v>62</v>
      </c>
      <c r="F333" s="18" t="s">
        <v>1779</v>
      </c>
      <c r="G333" s="8">
        <v>2</v>
      </c>
      <c r="H333" s="8"/>
      <c r="I333" s="8"/>
      <c r="J333" s="8"/>
      <c r="K333" s="8">
        <f>+G333+H333-I333</f>
        <v>2</v>
      </c>
      <c r="L333" s="8"/>
      <c r="M333" s="9">
        <v>7360</v>
      </c>
      <c r="N333" s="9">
        <f t="shared" si="29"/>
        <v>14720</v>
      </c>
      <c r="O333" s="9"/>
      <c r="P333" s="9"/>
      <c r="Q333" s="10" t="s">
        <v>25</v>
      </c>
    </row>
    <row r="334" spans="1:17" s="11" customFormat="1" ht="39.950000000000003" customHeight="1" x14ac:dyDescent="0.3">
      <c r="A334" s="18" t="s">
        <v>851</v>
      </c>
      <c r="B334" s="23">
        <v>45536</v>
      </c>
      <c r="C334" s="8">
        <v>10</v>
      </c>
      <c r="D334" s="53" t="s">
        <v>2394</v>
      </c>
      <c r="E334" s="12" t="s">
        <v>63</v>
      </c>
      <c r="F334" s="18" t="s">
        <v>1779</v>
      </c>
      <c r="G334" s="8">
        <v>9</v>
      </c>
      <c r="H334" s="8"/>
      <c r="I334" s="8"/>
      <c r="J334" s="8"/>
      <c r="K334" s="8">
        <f>+G334+H334-I334</f>
        <v>9</v>
      </c>
      <c r="L334" s="8"/>
      <c r="M334" s="9">
        <v>125</v>
      </c>
      <c r="N334" s="9">
        <f t="shared" si="29"/>
        <v>1125</v>
      </c>
      <c r="O334" s="9"/>
      <c r="P334" s="9"/>
      <c r="Q334" s="10" t="s">
        <v>25</v>
      </c>
    </row>
    <row r="335" spans="1:17" s="11" customFormat="1" ht="39.950000000000003" customHeight="1" x14ac:dyDescent="0.3">
      <c r="A335" s="18" t="s">
        <v>852</v>
      </c>
      <c r="B335" s="23"/>
      <c r="C335" s="8"/>
      <c r="D335" s="53" t="s">
        <v>2394</v>
      </c>
      <c r="E335" s="12" t="s">
        <v>64</v>
      </c>
      <c r="F335" s="18" t="s">
        <v>1779</v>
      </c>
      <c r="G335" s="8">
        <v>3</v>
      </c>
      <c r="H335" s="8"/>
      <c r="I335" s="8"/>
      <c r="J335" s="8"/>
      <c r="K335" s="8">
        <f>+G335+H335-I335</f>
        <v>3</v>
      </c>
      <c r="L335" s="8"/>
      <c r="M335" s="9">
        <v>68</v>
      </c>
      <c r="N335" s="9">
        <f t="shared" si="29"/>
        <v>204</v>
      </c>
      <c r="O335" s="9"/>
      <c r="P335" s="9"/>
      <c r="Q335" s="10" t="s">
        <v>25</v>
      </c>
    </row>
    <row r="336" spans="1:17" s="11" customFormat="1" ht="39.950000000000003" customHeight="1" x14ac:dyDescent="0.3">
      <c r="A336" s="18" t="s">
        <v>853</v>
      </c>
      <c r="B336" s="23"/>
      <c r="C336" s="8"/>
      <c r="D336" s="53" t="s">
        <v>2394</v>
      </c>
      <c r="E336" s="12" t="s">
        <v>65</v>
      </c>
      <c r="F336" s="18" t="s">
        <v>1779</v>
      </c>
      <c r="G336" s="8">
        <v>92</v>
      </c>
      <c r="H336" s="8"/>
      <c r="I336" s="8"/>
      <c r="J336" s="8"/>
      <c r="K336" s="8">
        <f>+G336+H336-I336</f>
        <v>92</v>
      </c>
      <c r="L336" s="8"/>
      <c r="M336" s="9">
        <v>558</v>
      </c>
      <c r="N336" s="9">
        <f t="shared" si="29"/>
        <v>51336</v>
      </c>
      <c r="O336" s="9"/>
      <c r="P336" s="9"/>
      <c r="Q336" s="10" t="s">
        <v>25</v>
      </c>
    </row>
    <row r="337" spans="1:17" s="11" customFormat="1" ht="39.950000000000003" customHeight="1" x14ac:dyDescent="0.3">
      <c r="A337" s="18" t="s">
        <v>854</v>
      </c>
      <c r="B337" s="23"/>
      <c r="C337" s="8"/>
      <c r="D337" s="25" t="s">
        <v>2442</v>
      </c>
      <c r="E337" s="12" t="s">
        <v>524</v>
      </c>
      <c r="F337" s="18" t="s">
        <v>1779</v>
      </c>
      <c r="G337" s="8">
        <v>1</v>
      </c>
      <c r="H337" s="8"/>
      <c r="I337" s="8"/>
      <c r="J337" s="8"/>
      <c r="K337" s="8">
        <f>+G337+H337+-I337</f>
        <v>1</v>
      </c>
      <c r="L337" s="8"/>
      <c r="M337" s="9">
        <v>415</v>
      </c>
      <c r="N337" s="9">
        <f t="shared" si="29"/>
        <v>415</v>
      </c>
      <c r="O337" s="9"/>
      <c r="P337" s="9"/>
      <c r="Q337" s="10" t="s">
        <v>520</v>
      </c>
    </row>
    <row r="338" spans="1:17" s="11" customFormat="1" ht="39.950000000000003" customHeight="1" x14ac:dyDescent="0.3">
      <c r="A338" s="18" t="s">
        <v>855</v>
      </c>
      <c r="B338" s="23">
        <v>45414</v>
      </c>
      <c r="C338" s="8"/>
      <c r="D338" s="53" t="s">
        <v>2394</v>
      </c>
      <c r="E338" s="12" t="s">
        <v>66</v>
      </c>
      <c r="F338" s="18" t="s">
        <v>1779</v>
      </c>
      <c r="G338" s="8">
        <v>0</v>
      </c>
      <c r="H338" s="8">
        <v>7</v>
      </c>
      <c r="I338" s="8">
        <v>1</v>
      </c>
      <c r="J338" s="8"/>
      <c r="K338" s="8">
        <f>+G338+H338-I338</f>
        <v>6</v>
      </c>
      <c r="L338" s="8"/>
      <c r="M338" s="9">
        <v>638.76</v>
      </c>
      <c r="N338" s="9">
        <f t="shared" si="29"/>
        <v>3832.56</v>
      </c>
      <c r="O338" s="9"/>
      <c r="P338" s="9"/>
      <c r="Q338" s="10" t="s">
        <v>25</v>
      </c>
    </row>
    <row r="339" spans="1:17" s="11" customFormat="1" ht="39.950000000000003" customHeight="1" x14ac:dyDescent="0.3">
      <c r="A339" s="18" t="s">
        <v>856</v>
      </c>
      <c r="B339" s="23">
        <v>45414</v>
      </c>
      <c r="C339" s="8"/>
      <c r="D339" s="53" t="s">
        <v>2394</v>
      </c>
      <c r="E339" s="12" t="s">
        <v>67</v>
      </c>
      <c r="F339" s="18" t="s">
        <v>1779</v>
      </c>
      <c r="G339" s="8">
        <v>7</v>
      </c>
      <c r="H339" s="8"/>
      <c r="I339" s="8">
        <v>0</v>
      </c>
      <c r="J339" s="8"/>
      <c r="K339" s="8">
        <f>+G339+H339-I339</f>
        <v>7</v>
      </c>
      <c r="L339" s="8"/>
      <c r="M339" s="9">
        <v>719.2</v>
      </c>
      <c r="N339" s="9">
        <f t="shared" si="29"/>
        <v>5034.4000000000005</v>
      </c>
      <c r="O339" s="9"/>
      <c r="P339" s="9"/>
      <c r="Q339" s="10" t="s">
        <v>25</v>
      </c>
    </row>
    <row r="340" spans="1:17" s="11" customFormat="1" ht="39.950000000000003" customHeight="1" x14ac:dyDescent="0.3">
      <c r="A340" s="18" t="s">
        <v>857</v>
      </c>
      <c r="B340" s="23">
        <v>45414</v>
      </c>
      <c r="C340" s="8"/>
      <c r="D340" s="53" t="s">
        <v>2394</v>
      </c>
      <c r="E340" s="12" t="s">
        <v>2500</v>
      </c>
      <c r="F340" s="18" t="s">
        <v>1779</v>
      </c>
      <c r="G340" s="8">
        <v>2</v>
      </c>
      <c r="H340" s="8"/>
      <c r="I340" s="8">
        <v>1</v>
      </c>
      <c r="J340" s="8"/>
      <c r="K340" s="8">
        <f>+G340+H340-I340</f>
        <v>1</v>
      </c>
      <c r="L340" s="8"/>
      <c r="M340" s="9">
        <v>7360</v>
      </c>
      <c r="N340" s="9">
        <f t="shared" si="29"/>
        <v>7360</v>
      </c>
      <c r="O340" s="9"/>
      <c r="P340" s="9"/>
      <c r="Q340" s="10" t="s">
        <v>25</v>
      </c>
    </row>
    <row r="341" spans="1:17" s="11" customFormat="1" ht="39.950000000000003" customHeight="1" x14ac:dyDescent="0.3">
      <c r="A341" s="18" t="s">
        <v>858</v>
      </c>
      <c r="B341" s="19" t="s">
        <v>2303</v>
      </c>
      <c r="C341" s="20"/>
      <c r="D341" s="53" t="s">
        <v>2479</v>
      </c>
      <c r="E341" s="12" t="s">
        <v>2501</v>
      </c>
      <c r="F341" s="21" t="s">
        <v>2496</v>
      </c>
      <c r="G341" s="8"/>
      <c r="H341" s="8">
        <v>6</v>
      </c>
      <c r="I341" s="8"/>
      <c r="J341" s="8"/>
      <c r="K341" s="8">
        <f>+G341+H341-I341+J341</f>
        <v>6</v>
      </c>
      <c r="L341" s="8"/>
      <c r="M341" s="9">
        <v>1614.3815999999999</v>
      </c>
      <c r="N341" s="9">
        <f t="shared" si="29"/>
        <v>9686.2896000000001</v>
      </c>
      <c r="O341" s="9"/>
      <c r="P341" s="9"/>
      <c r="Q341" s="10" t="s">
        <v>25</v>
      </c>
    </row>
    <row r="342" spans="1:17" s="11" customFormat="1" ht="39.950000000000003" customHeight="1" x14ac:dyDescent="0.3">
      <c r="A342" s="18" t="s">
        <v>859</v>
      </c>
      <c r="B342" s="23"/>
      <c r="C342" s="8"/>
      <c r="D342" s="53" t="s">
        <v>2394</v>
      </c>
      <c r="E342" s="12" t="s">
        <v>2154</v>
      </c>
      <c r="F342" s="18" t="s">
        <v>1779</v>
      </c>
      <c r="G342" s="8"/>
      <c r="H342" s="8">
        <v>8</v>
      </c>
      <c r="I342" s="8"/>
      <c r="J342" s="8"/>
      <c r="K342" s="8">
        <f>+G342+H342-I342+J342</f>
        <v>8</v>
      </c>
      <c r="L342" s="8"/>
      <c r="M342" s="9">
        <v>2646</v>
      </c>
      <c r="N342" s="9">
        <f t="shared" si="29"/>
        <v>21168</v>
      </c>
      <c r="O342" s="9"/>
      <c r="P342" s="9"/>
      <c r="Q342" s="10" t="s">
        <v>25</v>
      </c>
    </row>
    <row r="343" spans="1:17" s="11" customFormat="1" ht="39.950000000000003" customHeight="1" x14ac:dyDescent="0.3">
      <c r="A343" s="18" t="s">
        <v>860</v>
      </c>
      <c r="B343" s="23"/>
      <c r="C343" s="8"/>
      <c r="D343" s="53" t="s">
        <v>2394</v>
      </c>
      <c r="E343" s="12" t="s">
        <v>2153</v>
      </c>
      <c r="F343" s="18" t="s">
        <v>1779</v>
      </c>
      <c r="G343" s="8"/>
      <c r="H343" s="8">
        <v>5</v>
      </c>
      <c r="I343" s="8"/>
      <c r="J343" s="8"/>
      <c r="K343" s="8">
        <f>+G343+H343-I343+J343</f>
        <v>5</v>
      </c>
      <c r="L343" s="8"/>
      <c r="M343" s="9">
        <v>3016</v>
      </c>
      <c r="N343" s="9">
        <f t="shared" si="29"/>
        <v>15080</v>
      </c>
      <c r="O343" s="9"/>
      <c r="P343" s="9"/>
      <c r="Q343" s="10" t="s">
        <v>25</v>
      </c>
    </row>
    <row r="344" spans="1:17" s="11" customFormat="1" ht="39.950000000000003" customHeight="1" x14ac:dyDescent="0.3">
      <c r="A344" s="18" t="s">
        <v>861</v>
      </c>
      <c r="B344" s="23"/>
      <c r="C344" s="8"/>
      <c r="D344" s="53" t="s">
        <v>2394</v>
      </c>
      <c r="E344" s="12" t="s">
        <v>68</v>
      </c>
      <c r="F344" s="18" t="s">
        <v>1779</v>
      </c>
      <c r="G344" s="8">
        <v>2</v>
      </c>
      <c r="H344" s="8"/>
      <c r="I344" s="8"/>
      <c r="J344" s="8"/>
      <c r="K344" s="8">
        <f>+G344+H344-I344</f>
        <v>2</v>
      </c>
      <c r="L344" s="8"/>
      <c r="M344" s="9"/>
      <c r="N344" s="9">
        <f t="shared" si="29"/>
        <v>0</v>
      </c>
      <c r="O344" s="9"/>
      <c r="P344" s="9"/>
      <c r="Q344" s="10" t="s">
        <v>25</v>
      </c>
    </row>
    <row r="345" spans="1:17" s="11" customFormat="1" ht="39.950000000000003" customHeight="1" x14ac:dyDescent="0.3">
      <c r="A345" s="18" t="s">
        <v>862</v>
      </c>
      <c r="B345" s="23"/>
      <c r="C345" s="8"/>
      <c r="D345" s="53" t="s">
        <v>2394</v>
      </c>
      <c r="E345" s="12" t="s">
        <v>2289</v>
      </c>
      <c r="F345" s="18" t="s">
        <v>1779</v>
      </c>
      <c r="G345" s="8">
        <v>118</v>
      </c>
      <c r="H345" s="8"/>
      <c r="I345" s="8">
        <f>3+6+5</f>
        <v>14</v>
      </c>
      <c r="J345" s="8">
        <v>0</v>
      </c>
      <c r="K345" s="8">
        <f>+G345+H345-I345+J345</f>
        <v>104</v>
      </c>
      <c r="L345" s="8"/>
      <c r="M345" s="9">
        <v>35</v>
      </c>
      <c r="N345" s="9">
        <f>+L345*M345</f>
        <v>0</v>
      </c>
      <c r="O345" s="9"/>
      <c r="P345" s="9"/>
      <c r="Q345" s="10" t="s">
        <v>1887</v>
      </c>
    </row>
    <row r="346" spans="1:17" s="11" customFormat="1" ht="39.950000000000003" customHeight="1" x14ac:dyDescent="0.3">
      <c r="A346" s="18" t="s">
        <v>863</v>
      </c>
      <c r="B346" s="23">
        <v>45536</v>
      </c>
      <c r="C346" s="8"/>
      <c r="D346" s="53" t="s">
        <v>2394</v>
      </c>
      <c r="E346" s="12" t="s">
        <v>174</v>
      </c>
      <c r="F346" s="18" t="s">
        <v>1779</v>
      </c>
      <c r="G346" s="8">
        <v>1</v>
      </c>
      <c r="H346" s="8"/>
      <c r="I346" s="8"/>
      <c r="J346" s="8"/>
      <c r="K346" s="8">
        <f>+G346+H346+-I346</f>
        <v>1</v>
      </c>
      <c r="L346" s="8"/>
      <c r="M346" s="9">
        <v>379</v>
      </c>
      <c r="N346" s="9">
        <f t="shared" ref="N346:N355" si="30">+K346*M346</f>
        <v>379</v>
      </c>
      <c r="O346" s="9"/>
      <c r="P346" s="9"/>
      <c r="Q346" s="10" t="s">
        <v>159</v>
      </c>
    </row>
    <row r="347" spans="1:17" s="11" customFormat="1" ht="39.950000000000003" customHeight="1" x14ac:dyDescent="0.3">
      <c r="A347" s="18" t="s">
        <v>864</v>
      </c>
      <c r="B347" s="23"/>
      <c r="C347" s="8"/>
      <c r="D347" s="53" t="s">
        <v>2394</v>
      </c>
      <c r="E347" s="12" t="s">
        <v>69</v>
      </c>
      <c r="F347" s="18" t="s">
        <v>1779</v>
      </c>
      <c r="G347" s="8">
        <v>2</v>
      </c>
      <c r="H347" s="8"/>
      <c r="I347" s="8"/>
      <c r="J347" s="8"/>
      <c r="K347" s="8">
        <f>+G347+H347-I347</f>
        <v>2</v>
      </c>
      <c r="L347" s="8"/>
      <c r="M347" s="9">
        <v>321.79000000000002</v>
      </c>
      <c r="N347" s="9">
        <f t="shared" si="30"/>
        <v>643.58000000000004</v>
      </c>
      <c r="O347" s="9"/>
      <c r="P347" s="9"/>
      <c r="Q347" s="10" t="s">
        <v>25</v>
      </c>
    </row>
    <row r="348" spans="1:17" s="11" customFormat="1" ht="39.950000000000003" customHeight="1" x14ac:dyDescent="0.3">
      <c r="A348" s="18" t="s">
        <v>865</v>
      </c>
      <c r="B348" s="23">
        <v>45701</v>
      </c>
      <c r="C348" s="8">
        <v>10</v>
      </c>
      <c r="D348" s="25" t="s">
        <v>2436</v>
      </c>
      <c r="E348" s="12" t="s">
        <v>1607</v>
      </c>
      <c r="F348" s="18" t="s">
        <v>1779</v>
      </c>
      <c r="G348" s="8"/>
      <c r="H348" s="8">
        <v>1</v>
      </c>
      <c r="I348" s="8">
        <v>1</v>
      </c>
      <c r="J348" s="8"/>
      <c r="K348" s="8">
        <f>+G348+H348-I348</f>
        <v>0</v>
      </c>
      <c r="L348" s="8"/>
      <c r="M348" s="9">
        <v>46572.24</v>
      </c>
      <c r="N348" s="9">
        <f t="shared" si="30"/>
        <v>0</v>
      </c>
      <c r="O348" s="9"/>
      <c r="P348" s="9"/>
      <c r="Q348" s="10" t="s">
        <v>209</v>
      </c>
    </row>
    <row r="349" spans="1:17" s="11" customFormat="1" ht="39.950000000000003" customHeight="1" x14ac:dyDescent="0.3">
      <c r="A349" s="18" t="s">
        <v>866</v>
      </c>
      <c r="B349" s="23"/>
      <c r="C349" s="8"/>
      <c r="D349" s="25" t="s">
        <v>2466</v>
      </c>
      <c r="E349" s="12" t="s">
        <v>447</v>
      </c>
      <c r="F349" s="18" t="s">
        <v>1779</v>
      </c>
      <c r="G349" s="8">
        <v>56</v>
      </c>
      <c r="H349" s="8"/>
      <c r="I349" s="8">
        <v>17</v>
      </c>
      <c r="J349" s="8"/>
      <c r="K349" s="8">
        <f t="shared" ref="K349:K355" si="31">+G349+H349+-I349</f>
        <v>39</v>
      </c>
      <c r="L349" s="8"/>
      <c r="M349" s="9">
        <v>9.5</v>
      </c>
      <c r="N349" s="9">
        <f t="shared" si="30"/>
        <v>370.5</v>
      </c>
      <c r="O349" s="9"/>
      <c r="P349" s="9"/>
      <c r="Q349" s="10" t="s">
        <v>433</v>
      </c>
    </row>
    <row r="350" spans="1:17" s="11" customFormat="1" ht="39.950000000000003" customHeight="1" x14ac:dyDescent="0.3">
      <c r="A350" s="18" t="s">
        <v>867</v>
      </c>
      <c r="B350" s="23"/>
      <c r="C350" s="8"/>
      <c r="D350" s="25" t="s">
        <v>2466</v>
      </c>
      <c r="E350" s="12" t="s">
        <v>1974</v>
      </c>
      <c r="F350" s="18" t="s">
        <v>1779</v>
      </c>
      <c r="G350" s="8">
        <v>51</v>
      </c>
      <c r="H350" s="8"/>
      <c r="I350" s="8">
        <f>6+2+2+1+1</f>
        <v>12</v>
      </c>
      <c r="J350" s="8"/>
      <c r="K350" s="8">
        <f t="shared" si="31"/>
        <v>39</v>
      </c>
      <c r="L350" s="8"/>
      <c r="M350" s="9">
        <v>6.49</v>
      </c>
      <c r="N350" s="9">
        <f t="shared" si="30"/>
        <v>253.11</v>
      </c>
      <c r="O350" s="9"/>
      <c r="P350" s="9"/>
      <c r="Q350" s="10" t="s">
        <v>433</v>
      </c>
    </row>
    <row r="351" spans="1:17" s="11" customFormat="1" ht="39.950000000000003" customHeight="1" x14ac:dyDescent="0.3">
      <c r="A351" s="18" t="s">
        <v>868</v>
      </c>
      <c r="B351" s="23"/>
      <c r="C351" s="8"/>
      <c r="D351" s="25" t="s">
        <v>2466</v>
      </c>
      <c r="E351" s="12" t="s">
        <v>1973</v>
      </c>
      <c r="F351" s="18" t="s">
        <v>1779</v>
      </c>
      <c r="G351" s="8">
        <v>60</v>
      </c>
      <c r="H351" s="8"/>
      <c r="I351" s="8"/>
      <c r="J351" s="8"/>
      <c r="K351" s="8">
        <f t="shared" si="31"/>
        <v>60</v>
      </c>
      <c r="L351" s="8"/>
      <c r="M351" s="9">
        <v>25.96</v>
      </c>
      <c r="N351" s="9">
        <f t="shared" si="30"/>
        <v>1557.6000000000001</v>
      </c>
      <c r="O351" s="9"/>
      <c r="P351" s="9"/>
      <c r="Q351" s="10" t="s">
        <v>433</v>
      </c>
    </row>
    <row r="352" spans="1:17" s="11" customFormat="1" ht="39.950000000000003" customHeight="1" x14ac:dyDescent="0.3">
      <c r="A352" s="18" t="s">
        <v>869</v>
      </c>
      <c r="B352" s="23">
        <v>45804</v>
      </c>
      <c r="C352" s="8"/>
      <c r="D352" s="25" t="s">
        <v>2466</v>
      </c>
      <c r="E352" s="12" t="s">
        <v>2034</v>
      </c>
      <c r="F352" s="18" t="s">
        <v>1779</v>
      </c>
      <c r="G352" s="8">
        <v>48</v>
      </c>
      <c r="H352" s="8">
        <v>50</v>
      </c>
      <c r="I352" s="8">
        <v>6</v>
      </c>
      <c r="J352" s="8"/>
      <c r="K352" s="8">
        <f t="shared" si="31"/>
        <v>92</v>
      </c>
      <c r="L352" s="8"/>
      <c r="M352" s="9">
        <v>9</v>
      </c>
      <c r="N352" s="9">
        <f t="shared" si="30"/>
        <v>828</v>
      </c>
      <c r="O352" s="9"/>
      <c r="P352" s="9"/>
      <c r="Q352" s="10" t="s">
        <v>433</v>
      </c>
    </row>
    <row r="353" spans="1:17" s="11" customFormat="1" ht="39.950000000000003" customHeight="1" x14ac:dyDescent="0.3">
      <c r="A353" s="18" t="s">
        <v>870</v>
      </c>
      <c r="B353" s="23">
        <v>45804</v>
      </c>
      <c r="C353" s="8"/>
      <c r="D353" s="25" t="s">
        <v>2466</v>
      </c>
      <c r="E353" s="12" t="s">
        <v>2033</v>
      </c>
      <c r="F353" s="18" t="s">
        <v>1779</v>
      </c>
      <c r="G353" s="8">
        <v>8</v>
      </c>
      <c r="H353" s="8">
        <v>50</v>
      </c>
      <c r="I353" s="8">
        <v>3</v>
      </c>
      <c r="J353" s="8"/>
      <c r="K353" s="8">
        <f t="shared" si="31"/>
        <v>55</v>
      </c>
      <c r="L353" s="8"/>
      <c r="M353" s="9">
        <v>91</v>
      </c>
      <c r="N353" s="9">
        <f t="shared" si="30"/>
        <v>5005</v>
      </c>
      <c r="O353" s="9"/>
      <c r="P353" s="9"/>
      <c r="Q353" s="10" t="s">
        <v>433</v>
      </c>
    </row>
    <row r="354" spans="1:17" s="11" customFormat="1" ht="39.950000000000003" customHeight="1" x14ac:dyDescent="0.3">
      <c r="A354" s="18" t="s">
        <v>871</v>
      </c>
      <c r="B354" s="23">
        <v>45804</v>
      </c>
      <c r="C354" s="8"/>
      <c r="D354" s="25" t="s">
        <v>2466</v>
      </c>
      <c r="E354" s="12" t="s">
        <v>2032</v>
      </c>
      <c r="F354" s="18" t="s">
        <v>1779</v>
      </c>
      <c r="G354" s="8">
        <v>42</v>
      </c>
      <c r="H354" s="8">
        <v>50</v>
      </c>
      <c r="I354" s="8">
        <v>1</v>
      </c>
      <c r="J354" s="8"/>
      <c r="K354" s="8">
        <f t="shared" si="31"/>
        <v>91</v>
      </c>
      <c r="L354" s="8"/>
      <c r="M354" s="9">
        <v>9</v>
      </c>
      <c r="N354" s="9">
        <f t="shared" si="30"/>
        <v>819</v>
      </c>
      <c r="O354" s="9"/>
      <c r="P354" s="9"/>
      <c r="Q354" s="10" t="s">
        <v>433</v>
      </c>
    </row>
    <row r="355" spans="1:17" s="11" customFormat="1" ht="39.950000000000003" customHeight="1" x14ac:dyDescent="0.3">
      <c r="A355" s="18" t="s">
        <v>872</v>
      </c>
      <c r="B355" s="23"/>
      <c r="C355" s="8"/>
      <c r="D355" s="25" t="s">
        <v>2385</v>
      </c>
      <c r="E355" s="12" t="s">
        <v>328</v>
      </c>
      <c r="F355" s="18" t="s">
        <v>1779</v>
      </c>
      <c r="G355" s="8">
        <v>65</v>
      </c>
      <c r="H355" s="8"/>
      <c r="I355" s="8">
        <f>1+12+1</f>
        <v>14</v>
      </c>
      <c r="J355" s="8"/>
      <c r="K355" s="8">
        <f t="shared" si="31"/>
        <v>51</v>
      </c>
      <c r="L355" s="8"/>
      <c r="M355" s="9">
        <v>155</v>
      </c>
      <c r="N355" s="9">
        <f t="shared" si="30"/>
        <v>7905</v>
      </c>
      <c r="O355" s="9"/>
      <c r="P355" s="9"/>
      <c r="Q355" s="10" t="s">
        <v>297</v>
      </c>
    </row>
    <row r="356" spans="1:17" s="11" customFormat="1" ht="39.950000000000003" customHeight="1" x14ac:dyDescent="0.3">
      <c r="A356" s="18" t="s">
        <v>873</v>
      </c>
      <c r="B356" s="23">
        <v>45469</v>
      </c>
      <c r="C356" s="8"/>
      <c r="D356" s="25" t="s">
        <v>2385</v>
      </c>
      <c r="E356" s="12" t="s">
        <v>1369</v>
      </c>
      <c r="F356" s="18" t="s">
        <v>1779</v>
      </c>
      <c r="G356" s="8">
        <v>500</v>
      </c>
      <c r="H356" s="8"/>
      <c r="I356" s="8">
        <f>80+70+80</f>
        <v>230</v>
      </c>
      <c r="J356" s="8"/>
      <c r="K356" s="8">
        <f>+G356+H356-I356+J356</f>
        <v>270</v>
      </c>
      <c r="L356" s="8"/>
      <c r="M356" s="9"/>
      <c r="N356" s="9"/>
      <c r="O356" s="9">
        <v>180</v>
      </c>
      <c r="P356" s="9">
        <f>+K356*O356</f>
        <v>48600</v>
      </c>
      <c r="Q356" s="10"/>
    </row>
    <row r="357" spans="1:17" s="11" customFormat="1" ht="39.950000000000003" customHeight="1" x14ac:dyDescent="0.3">
      <c r="A357" s="18" t="s">
        <v>874</v>
      </c>
      <c r="B357" s="23">
        <v>45761</v>
      </c>
      <c r="C357" s="8"/>
      <c r="D357" s="24" t="s">
        <v>2389</v>
      </c>
      <c r="E357" s="12" t="s">
        <v>1491</v>
      </c>
      <c r="F357" s="18" t="s">
        <v>1779</v>
      </c>
      <c r="G357" s="8">
        <v>1</v>
      </c>
      <c r="H357" s="8">
        <v>20</v>
      </c>
      <c r="I357" s="8">
        <f>1+1+1+1+2+1+1+1+1+1+1+1+1+1+1+1+1</f>
        <v>18</v>
      </c>
      <c r="J357" s="8"/>
      <c r="K357" s="8">
        <f>+G357+H357-I357</f>
        <v>3</v>
      </c>
      <c r="L357" s="8">
        <v>5</v>
      </c>
      <c r="M357" s="9">
        <v>486.75</v>
      </c>
      <c r="N357" s="9">
        <f>+K357*M357</f>
        <v>1460.25</v>
      </c>
      <c r="O357" s="9"/>
      <c r="P357" s="9"/>
      <c r="Q357" s="10" t="s">
        <v>18</v>
      </c>
    </row>
    <row r="358" spans="1:17" s="11" customFormat="1" ht="39.950000000000003" customHeight="1" x14ac:dyDescent="0.3">
      <c r="A358" s="18" t="s">
        <v>875</v>
      </c>
      <c r="B358" s="23"/>
      <c r="C358" s="8"/>
      <c r="D358" s="25" t="s">
        <v>2388</v>
      </c>
      <c r="E358" s="12" t="s">
        <v>2290</v>
      </c>
      <c r="F358" s="18" t="s">
        <v>1779</v>
      </c>
      <c r="G358" s="8">
        <v>10000</v>
      </c>
      <c r="H358" s="8"/>
      <c r="I358" s="8">
        <f>1600+1600+500</f>
        <v>3700</v>
      </c>
      <c r="J358" s="8"/>
      <c r="K358" s="8">
        <f>+G358+H358-I358+J358</f>
        <v>6300</v>
      </c>
      <c r="L358" s="8"/>
      <c r="M358" s="9"/>
      <c r="N358" s="9"/>
      <c r="O358" s="9">
        <v>20</v>
      </c>
      <c r="P358" s="9">
        <f>+K358*O358</f>
        <v>126000</v>
      </c>
      <c r="Q358" s="10"/>
    </row>
    <row r="359" spans="1:17" s="11" customFormat="1" ht="39.950000000000003" customHeight="1" x14ac:dyDescent="0.3">
      <c r="A359" s="18" t="s">
        <v>876</v>
      </c>
      <c r="B359" s="23">
        <v>45414</v>
      </c>
      <c r="C359" s="8"/>
      <c r="D359" s="25" t="s">
        <v>2326</v>
      </c>
      <c r="E359" s="12" t="s">
        <v>1414</v>
      </c>
      <c r="F359" s="18" t="s">
        <v>1779</v>
      </c>
      <c r="G359" s="8"/>
      <c r="H359" s="8">
        <v>5</v>
      </c>
      <c r="I359" s="8">
        <f>1+1</f>
        <v>2</v>
      </c>
      <c r="J359" s="8"/>
      <c r="K359" s="8">
        <f>+G359+H359-I359+J359</f>
        <v>3</v>
      </c>
      <c r="L359" s="8"/>
      <c r="M359" s="9">
        <v>5310</v>
      </c>
      <c r="N359" s="9">
        <f t="shared" ref="N359:N364" si="32">+K359*M359</f>
        <v>15930</v>
      </c>
      <c r="O359" s="9"/>
      <c r="P359" s="9"/>
      <c r="Q359" s="10" t="s">
        <v>1191</v>
      </c>
    </row>
    <row r="360" spans="1:17" s="11" customFormat="1" ht="39.950000000000003" customHeight="1" x14ac:dyDescent="0.3">
      <c r="A360" s="18" t="s">
        <v>877</v>
      </c>
      <c r="B360" s="23">
        <v>45799</v>
      </c>
      <c r="C360" s="8">
        <v>10</v>
      </c>
      <c r="D360" s="25" t="s">
        <v>2326</v>
      </c>
      <c r="E360" s="12" t="s">
        <v>1412</v>
      </c>
      <c r="F360" s="18" t="s">
        <v>1779</v>
      </c>
      <c r="G360" s="8"/>
      <c r="H360" s="8">
        <f>5+25</f>
        <v>30</v>
      </c>
      <c r="I360" s="8">
        <f>1+1+1+1</f>
        <v>4</v>
      </c>
      <c r="J360" s="8"/>
      <c r="K360" s="8">
        <f>+G360+H360-I360+J360</f>
        <v>26</v>
      </c>
      <c r="L360" s="8"/>
      <c r="M360" s="9">
        <v>4611</v>
      </c>
      <c r="N360" s="9">
        <f t="shared" si="32"/>
        <v>119886</v>
      </c>
      <c r="O360" s="9"/>
      <c r="P360" s="9"/>
      <c r="Q360" s="10" t="s">
        <v>1191</v>
      </c>
    </row>
    <row r="361" spans="1:17" s="11" customFormat="1" ht="39.950000000000003" customHeight="1" x14ac:dyDescent="0.3">
      <c r="A361" s="18" t="s">
        <v>878</v>
      </c>
      <c r="B361" s="23"/>
      <c r="C361" s="8"/>
      <c r="D361" s="25" t="s">
        <v>2326</v>
      </c>
      <c r="E361" s="12" t="s">
        <v>1392</v>
      </c>
      <c r="F361" s="18" t="s">
        <v>1779</v>
      </c>
      <c r="G361" s="8"/>
      <c r="H361" s="8">
        <v>5</v>
      </c>
      <c r="I361" s="8">
        <f>1+1</f>
        <v>2</v>
      </c>
      <c r="J361" s="8"/>
      <c r="K361" s="8">
        <f>+G361+H361-I361+J361</f>
        <v>3</v>
      </c>
      <c r="L361" s="8"/>
      <c r="M361" s="9">
        <v>8614</v>
      </c>
      <c r="N361" s="9">
        <f t="shared" si="32"/>
        <v>25842</v>
      </c>
      <c r="O361" s="9"/>
      <c r="P361" s="9"/>
      <c r="Q361" s="10" t="s">
        <v>1191</v>
      </c>
    </row>
    <row r="362" spans="1:17" s="11" customFormat="1" ht="39.950000000000003" customHeight="1" x14ac:dyDescent="0.3">
      <c r="A362" s="18" t="s">
        <v>879</v>
      </c>
      <c r="B362" s="23"/>
      <c r="C362" s="8"/>
      <c r="D362" s="25" t="s">
        <v>2326</v>
      </c>
      <c r="E362" s="12" t="s">
        <v>1413</v>
      </c>
      <c r="F362" s="18" t="s">
        <v>1779</v>
      </c>
      <c r="G362" s="8"/>
      <c r="H362" s="8">
        <v>3</v>
      </c>
      <c r="I362" s="8">
        <f>1+1</f>
        <v>2</v>
      </c>
      <c r="J362" s="8"/>
      <c r="K362" s="8">
        <f>+G362+H362-I362+J362</f>
        <v>1</v>
      </c>
      <c r="L362" s="8"/>
      <c r="M362" s="9">
        <v>8614</v>
      </c>
      <c r="N362" s="9">
        <f t="shared" si="32"/>
        <v>8614</v>
      </c>
      <c r="O362" s="9"/>
      <c r="P362" s="9"/>
      <c r="Q362" s="10" t="s">
        <v>1191</v>
      </c>
    </row>
    <row r="363" spans="1:17" s="11" customFormat="1" ht="39.950000000000003" customHeight="1" x14ac:dyDescent="0.3">
      <c r="A363" s="18" t="s">
        <v>880</v>
      </c>
      <c r="B363" s="23"/>
      <c r="C363" s="8"/>
      <c r="D363" s="25" t="s">
        <v>2440</v>
      </c>
      <c r="E363" s="12" t="s">
        <v>144</v>
      </c>
      <c r="F363" s="18" t="s">
        <v>1779</v>
      </c>
      <c r="G363" s="8">
        <v>246</v>
      </c>
      <c r="H363" s="8"/>
      <c r="I363" s="8"/>
      <c r="J363" s="8"/>
      <c r="K363" s="8">
        <f>+G363+H363-I363</f>
        <v>246</v>
      </c>
      <c r="L363" s="8"/>
      <c r="M363" s="9">
        <v>4.7</v>
      </c>
      <c r="N363" s="9">
        <f t="shared" si="32"/>
        <v>1156.2</v>
      </c>
      <c r="O363" s="9"/>
      <c r="P363" s="9"/>
      <c r="Q363" s="10" t="s">
        <v>140</v>
      </c>
    </row>
    <row r="364" spans="1:17" s="11" customFormat="1" ht="39.950000000000003" customHeight="1" x14ac:dyDescent="0.3">
      <c r="A364" s="18" t="s">
        <v>881</v>
      </c>
      <c r="B364" s="23"/>
      <c r="C364" s="8"/>
      <c r="D364" s="25" t="s">
        <v>2440</v>
      </c>
      <c r="E364" s="12" t="s">
        <v>145</v>
      </c>
      <c r="F364" s="18" t="s">
        <v>1779</v>
      </c>
      <c r="G364" s="8">
        <v>200</v>
      </c>
      <c r="H364" s="8"/>
      <c r="I364" s="8"/>
      <c r="J364" s="8"/>
      <c r="K364" s="8">
        <f>+G364+H364-I364</f>
        <v>200</v>
      </c>
      <c r="L364" s="8"/>
      <c r="M364" s="9">
        <v>4.7</v>
      </c>
      <c r="N364" s="9">
        <f t="shared" si="32"/>
        <v>940</v>
      </c>
      <c r="O364" s="9"/>
      <c r="P364" s="9"/>
      <c r="Q364" s="10" t="s">
        <v>140</v>
      </c>
    </row>
    <row r="365" spans="1:17" s="11" customFormat="1" ht="39.950000000000003" customHeight="1" x14ac:dyDescent="0.3">
      <c r="A365" s="18" t="s">
        <v>882</v>
      </c>
      <c r="B365" s="23" t="s">
        <v>1581</v>
      </c>
      <c r="C365" s="8"/>
      <c r="D365" s="25"/>
      <c r="E365" s="12" t="s">
        <v>1699</v>
      </c>
      <c r="F365" s="18" t="s">
        <v>1779</v>
      </c>
      <c r="G365" s="8"/>
      <c r="H365" s="8">
        <v>8</v>
      </c>
      <c r="I365" s="8">
        <f>2+1+1+1</f>
        <v>5</v>
      </c>
      <c r="J365" s="8">
        <v>0</v>
      </c>
      <c r="K365" s="8">
        <f>+G365+H365-I365+J365</f>
        <v>3</v>
      </c>
      <c r="L365" s="8"/>
      <c r="M365" s="9">
        <v>159.30000000000001</v>
      </c>
      <c r="N365" s="9">
        <f>+L365*M365</f>
        <v>0</v>
      </c>
      <c r="O365" s="9"/>
      <c r="P365" s="9"/>
      <c r="Q365" s="10" t="s">
        <v>1887</v>
      </c>
    </row>
    <row r="366" spans="1:17" s="11" customFormat="1" ht="39.950000000000003" customHeight="1" x14ac:dyDescent="0.3">
      <c r="A366" s="18" t="s">
        <v>883</v>
      </c>
      <c r="B366" s="23"/>
      <c r="C366" s="8"/>
      <c r="D366" s="25" t="s">
        <v>2440</v>
      </c>
      <c r="E366" s="12" t="s">
        <v>146</v>
      </c>
      <c r="F366" s="18" t="s">
        <v>1779</v>
      </c>
      <c r="G366" s="8">
        <v>100</v>
      </c>
      <c r="H366" s="8"/>
      <c r="I366" s="8"/>
      <c r="J366" s="8"/>
      <c r="K366" s="8">
        <f>+G366+H366-I366</f>
        <v>100</v>
      </c>
      <c r="L366" s="8"/>
      <c r="M366" s="9">
        <v>4.7</v>
      </c>
      <c r="N366" s="9">
        <f>+K366*M366</f>
        <v>470</v>
      </c>
      <c r="O366" s="9"/>
      <c r="P366" s="9"/>
      <c r="Q366" s="10" t="s">
        <v>140</v>
      </c>
    </row>
    <row r="367" spans="1:17" s="11" customFormat="1" ht="39.950000000000003" customHeight="1" x14ac:dyDescent="0.3">
      <c r="A367" s="18" t="s">
        <v>884</v>
      </c>
      <c r="B367" s="23"/>
      <c r="C367" s="8"/>
      <c r="D367" s="25"/>
      <c r="E367" s="12" t="s">
        <v>448</v>
      </c>
      <c r="F367" s="18" t="s">
        <v>1779</v>
      </c>
      <c r="G367" s="8">
        <v>6</v>
      </c>
      <c r="H367" s="8"/>
      <c r="I367" s="8"/>
      <c r="J367" s="8"/>
      <c r="K367" s="8">
        <f>+G367+H367+-I367</f>
        <v>6</v>
      </c>
      <c r="L367" s="8"/>
      <c r="M367" s="9">
        <v>92</v>
      </c>
      <c r="N367" s="9">
        <f>+K367*M367</f>
        <v>552</v>
      </c>
      <c r="O367" s="9"/>
      <c r="P367" s="9"/>
      <c r="Q367" s="10" t="s">
        <v>433</v>
      </c>
    </row>
    <row r="368" spans="1:17" s="11" customFormat="1" ht="39.950000000000003" customHeight="1" x14ac:dyDescent="0.3">
      <c r="A368" s="18" t="s">
        <v>885</v>
      </c>
      <c r="B368" s="23"/>
      <c r="C368" s="8"/>
      <c r="D368" s="24" t="s">
        <v>2387</v>
      </c>
      <c r="E368" s="12" t="s">
        <v>19</v>
      </c>
      <c r="F368" s="18" t="s">
        <v>1779</v>
      </c>
      <c r="G368" s="8">
        <v>35</v>
      </c>
      <c r="H368" s="8"/>
      <c r="I368" s="8">
        <f>3+1+1+4+4+2+2+1+3+3+2+2</f>
        <v>28</v>
      </c>
      <c r="J368" s="8"/>
      <c r="K368" s="8">
        <f>+G368+H368-I368</f>
        <v>7</v>
      </c>
      <c r="L368" s="8"/>
      <c r="M368" s="9">
        <v>44</v>
      </c>
      <c r="N368" s="9">
        <f>+K368*M368</f>
        <v>308</v>
      </c>
      <c r="O368" s="9"/>
      <c r="P368" s="9"/>
      <c r="Q368" s="10" t="s">
        <v>18</v>
      </c>
    </row>
    <row r="369" spans="1:17" s="11" customFormat="1" ht="39.950000000000003" customHeight="1" x14ac:dyDescent="0.3">
      <c r="A369" s="18" t="s">
        <v>886</v>
      </c>
      <c r="B369" s="23">
        <v>45530</v>
      </c>
      <c r="C369" s="8"/>
      <c r="D369" s="24" t="s">
        <v>2387</v>
      </c>
      <c r="E369" s="12" t="s">
        <v>1417</v>
      </c>
      <c r="F369" s="18" t="s">
        <v>1779</v>
      </c>
      <c r="G369" s="8"/>
      <c r="H369" s="8">
        <v>4</v>
      </c>
      <c r="I369" s="8">
        <v>4</v>
      </c>
      <c r="J369" s="8"/>
      <c r="K369" s="8">
        <f>+G369+H369-I369+J369</f>
        <v>0</v>
      </c>
      <c r="L369" s="8"/>
      <c r="M369" s="9">
        <v>3498.7</v>
      </c>
      <c r="N369" s="9">
        <f>+K369*M369</f>
        <v>0</v>
      </c>
      <c r="O369" s="9"/>
      <c r="P369" s="9"/>
      <c r="Q369" s="10" t="s">
        <v>1321</v>
      </c>
    </row>
    <row r="370" spans="1:17" s="11" customFormat="1" ht="39.950000000000003" customHeight="1" x14ac:dyDescent="0.3">
      <c r="A370" s="18" t="s">
        <v>887</v>
      </c>
      <c r="B370" s="23"/>
      <c r="C370" s="8"/>
      <c r="D370" s="24" t="s">
        <v>2387</v>
      </c>
      <c r="E370" s="12" t="s">
        <v>20</v>
      </c>
      <c r="F370" s="18" t="s">
        <v>1779</v>
      </c>
      <c r="G370" s="8">
        <v>14</v>
      </c>
      <c r="H370" s="8"/>
      <c r="I370" s="8">
        <v>1</v>
      </c>
      <c r="J370" s="8"/>
      <c r="K370" s="8">
        <f>+G370+H370-I370</f>
        <v>13</v>
      </c>
      <c r="L370" s="8">
        <v>13</v>
      </c>
      <c r="M370" s="9">
        <v>44</v>
      </c>
      <c r="N370" s="9">
        <f>+K370*M370</f>
        <v>572</v>
      </c>
      <c r="O370" s="9"/>
      <c r="P370" s="9"/>
      <c r="Q370" s="10" t="s">
        <v>18</v>
      </c>
    </row>
    <row r="371" spans="1:17" s="11" customFormat="1" ht="39.950000000000003" customHeight="1" x14ac:dyDescent="0.3">
      <c r="A371" s="18" t="s">
        <v>888</v>
      </c>
      <c r="B371" s="23"/>
      <c r="C371" s="8"/>
      <c r="D371" s="25"/>
      <c r="E371" s="12" t="s">
        <v>1666</v>
      </c>
      <c r="F371" s="18" t="s">
        <v>1779</v>
      </c>
      <c r="G371" s="8">
        <v>2450</v>
      </c>
      <c r="H371" s="8"/>
      <c r="I371" s="8"/>
      <c r="J371" s="8">
        <v>0</v>
      </c>
      <c r="K371" s="8">
        <f>+G371+H371-I371+J371</f>
        <v>2450</v>
      </c>
      <c r="L371" s="8"/>
      <c r="M371" s="9"/>
      <c r="N371" s="9">
        <f>+L371*M371</f>
        <v>0</v>
      </c>
      <c r="O371" s="9"/>
      <c r="P371" s="9"/>
      <c r="Q371" s="10" t="s">
        <v>1887</v>
      </c>
    </row>
    <row r="372" spans="1:17" s="11" customFormat="1" ht="39.950000000000003" customHeight="1" x14ac:dyDescent="0.3">
      <c r="A372" s="18" t="s">
        <v>889</v>
      </c>
      <c r="B372" s="23"/>
      <c r="C372" s="8"/>
      <c r="D372" s="12" t="s">
        <v>2394</v>
      </c>
      <c r="E372" s="12" t="s">
        <v>1431</v>
      </c>
      <c r="F372" s="18" t="s">
        <v>1779</v>
      </c>
      <c r="G372" s="8"/>
      <c r="H372" s="8">
        <v>30</v>
      </c>
      <c r="I372" s="8"/>
      <c r="J372" s="8"/>
      <c r="K372" s="8">
        <f>+G372+H372-I372+J372</f>
        <v>30</v>
      </c>
      <c r="L372" s="8"/>
      <c r="M372" s="9">
        <v>5.65</v>
      </c>
      <c r="N372" s="9">
        <f t="shared" ref="N372:N380" si="33">+K372*M372</f>
        <v>169.5</v>
      </c>
      <c r="O372" s="9"/>
      <c r="P372" s="9"/>
      <c r="Q372" s="10" t="s">
        <v>25</v>
      </c>
    </row>
    <row r="373" spans="1:17" s="11" customFormat="1" ht="39.950000000000003" customHeight="1" x14ac:dyDescent="0.3">
      <c r="A373" s="18" t="s">
        <v>890</v>
      </c>
      <c r="B373" s="23"/>
      <c r="C373" s="8"/>
      <c r="D373" s="25" t="s">
        <v>2434</v>
      </c>
      <c r="E373" s="12" t="s">
        <v>232</v>
      </c>
      <c r="F373" s="18" t="s">
        <v>1779</v>
      </c>
      <c r="G373" s="8">
        <f>8*4</f>
        <v>32</v>
      </c>
      <c r="H373" s="8"/>
      <c r="I373" s="8"/>
      <c r="J373" s="8"/>
      <c r="K373" s="8">
        <f>+G373+H373+-I373</f>
        <v>32</v>
      </c>
      <c r="L373" s="8"/>
      <c r="M373" s="9">
        <v>495.6</v>
      </c>
      <c r="N373" s="9">
        <f t="shared" si="33"/>
        <v>15859.2</v>
      </c>
      <c r="O373" s="9"/>
      <c r="P373" s="9"/>
      <c r="Q373" s="10" t="s">
        <v>209</v>
      </c>
    </row>
    <row r="374" spans="1:17" s="11" customFormat="1" ht="39.950000000000003" customHeight="1" x14ac:dyDescent="0.3">
      <c r="A374" s="18" t="s">
        <v>891</v>
      </c>
      <c r="B374" s="23"/>
      <c r="C374" s="8"/>
      <c r="D374" s="25" t="s">
        <v>2438</v>
      </c>
      <c r="E374" s="12" t="s">
        <v>255</v>
      </c>
      <c r="F374" s="8" t="s">
        <v>1779</v>
      </c>
      <c r="G374" s="8">
        <f>78-1-1-1-1-1-1-1-1</f>
        <v>70</v>
      </c>
      <c r="H374" s="8"/>
      <c r="I374" s="8">
        <f>66+2+2</f>
        <v>70</v>
      </c>
      <c r="J374" s="8"/>
      <c r="K374" s="8">
        <f>+G374+H374+-I374</f>
        <v>0</v>
      </c>
      <c r="L374" s="9">
        <v>0</v>
      </c>
      <c r="M374" s="9">
        <v>82.6</v>
      </c>
      <c r="N374" s="9">
        <f t="shared" si="33"/>
        <v>0</v>
      </c>
      <c r="O374" s="10"/>
      <c r="P374" s="56"/>
      <c r="Q374" s="56" t="s">
        <v>235</v>
      </c>
    </row>
    <row r="375" spans="1:17" s="11" customFormat="1" ht="39.950000000000003" customHeight="1" x14ac:dyDescent="0.3">
      <c r="A375" s="18" t="s">
        <v>892</v>
      </c>
      <c r="B375" s="23">
        <v>45474</v>
      </c>
      <c r="C375" s="8"/>
      <c r="D375" s="25" t="s">
        <v>2438</v>
      </c>
      <c r="E375" s="12" t="s">
        <v>1639</v>
      </c>
      <c r="F375" s="18" t="s">
        <v>1779</v>
      </c>
      <c r="G375" s="8">
        <v>53</v>
      </c>
      <c r="H375" s="8"/>
      <c r="I375" s="8">
        <f>34+5+3+5+2+1</f>
        <v>50</v>
      </c>
      <c r="J375" s="8"/>
      <c r="K375" s="8">
        <f>+G375+H375+-I375</f>
        <v>3</v>
      </c>
      <c r="L375" s="8"/>
      <c r="M375" s="9">
        <v>82.6</v>
      </c>
      <c r="N375" s="9">
        <f t="shared" si="33"/>
        <v>247.79999999999998</v>
      </c>
      <c r="O375" s="9"/>
      <c r="P375" s="9"/>
      <c r="Q375" s="10" t="s">
        <v>235</v>
      </c>
    </row>
    <row r="376" spans="1:17" s="11" customFormat="1" ht="39.950000000000003" customHeight="1" x14ac:dyDescent="0.3">
      <c r="A376" s="18" t="s">
        <v>893</v>
      </c>
      <c r="B376" s="23">
        <v>44193</v>
      </c>
      <c r="C376" s="8"/>
      <c r="D376" s="25" t="s">
        <v>2438</v>
      </c>
      <c r="E376" s="12" t="s">
        <v>256</v>
      </c>
      <c r="F376" s="18" t="s">
        <v>1779</v>
      </c>
      <c r="G376" s="8">
        <v>4</v>
      </c>
      <c r="H376" s="8"/>
      <c r="I376" s="8">
        <v>2</v>
      </c>
      <c r="J376" s="8"/>
      <c r="K376" s="8">
        <f>+G376+H376+-I376</f>
        <v>2</v>
      </c>
      <c r="L376" s="8"/>
      <c r="M376" s="9">
        <v>10480</v>
      </c>
      <c r="N376" s="9">
        <f t="shared" si="33"/>
        <v>20960</v>
      </c>
      <c r="O376" s="9"/>
      <c r="P376" s="9"/>
      <c r="Q376" s="10" t="s">
        <v>235</v>
      </c>
    </row>
    <row r="377" spans="1:17" s="11" customFormat="1" ht="39.950000000000003" customHeight="1" x14ac:dyDescent="0.3">
      <c r="A377" s="18" t="s">
        <v>894</v>
      </c>
      <c r="B377" s="23">
        <v>44193</v>
      </c>
      <c r="C377" s="8"/>
      <c r="D377" s="25" t="s">
        <v>2438</v>
      </c>
      <c r="E377" s="12" t="s">
        <v>1623</v>
      </c>
      <c r="F377" s="18" t="s">
        <v>1779</v>
      </c>
      <c r="G377" s="8"/>
      <c r="H377" s="8">
        <v>75</v>
      </c>
      <c r="I377" s="8">
        <f>73+2</f>
        <v>75</v>
      </c>
      <c r="J377" s="8"/>
      <c r="K377" s="8">
        <f>+G377+H377-I377</f>
        <v>0</v>
      </c>
      <c r="L377" s="8"/>
      <c r="M377" s="9">
        <v>94</v>
      </c>
      <c r="N377" s="9">
        <f t="shared" si="33"/>
        <v>0</v>
      </c>
      <c r="O377" s="9"/>
      <c r="P377" s="9"/>
      <c r="Q377" s="10" t="s">
        <v>235</v>
      </c>
    </row>
    <row r="378" spans="1:17" s="11" customFormat="1" ht="39.950000000000003" customHeight="1" x14ac:dyDescent="0.3">
      <c r="A378" s="18" t="s">
        <v>895</v>
      </c>
      <c r="B378" s="23"/>
      <c r="C378" s="8"/>
      <c r="D378" s="25" t="s">
        <v>2438</v>
      </c>
      <c r="E378" s="12" t="s">
        <v>1635</v>
      </c>
      <c r="F378" s="18" t="s">
        <v>1779</v>
      </c>
      <c r="G378" s="8"/>
      <c r="H378" s="8">
        <v>75</v>
      </c>
      <c r="I378" s="8">
        <v>75</v>
      </c>
      <c r="J378" s="8"/>
      <c r="K378" s="8">
        <f>+G378+H378-I378</f>
        <v>0</v>
      </c>
      <c r="L378" s="8"/>
      <c r="M378" s="9">
        <v>94</v>
      </c>
      <c r="N378" s="9">
        <f t="shared" si="33"/>
        <v>0</v>
      </c>
      <c r="O378" s="9"/>
      <c r="P378" s="9"/>
      <c r="Q378" s="10" t="s">
        <v>235</v>
      </c>
    </row>
    <row r="379" spans="1:17" s="11" customFormat="1" ht="39.950000000000003" customHeight="1" x14ac:dyDescent="0.3">
      <c r="A379" s="18" t="s">
        <v>896</v>
      </c>
      <c r="B379" s="23">
        <v>44193</v>
      </c>
      <c r="C379" s="8"/>
      <c r="D379" s="25"/>
      <c r="E379" s="12" t="s">
        <v>449</v>
      </c>
      <c r="F379" s="18" t="s">
        <v>1779</v>
      </c>
      <c r="G379" s="8">
        <v>1</v>
      </c>
      <c r="H379" s="8"/>
      <c r="I379" s="8"/>
      <c r="J379" s="8"/>
      <c r="K379" s="8">
        <f>+G379+H379+-I379</f>
        <v>1</v>
      </c>
      <c r="L379" s="8"/>
      <c r="M379" s="9">
        <v>310</v>
      </c>
      <c r="N379" s="9">
        <f t="shared" si="33"/>
        <v>310</v>
      </c>
      <c r="O379" s="9"/>
      <c r="P379" s="9"/>
      <c r="Q379" s="10" t="s">
        <v>433</v>
      </c>
    </row>
    <row r="380" spans="1:17" s="11" customFormat="1" ht="39.950000000000003" customHeight="1" x14ac:dyDescent="0.3">
      <c r="A380" s="18" t="s">
        <v>897</v>
      </c>
      <c r="B380" s="23" t="s">
        <v>4</v>
      </c>
      <c r="C380" s="8"/>
      <c r="D380" s="25" t="s">
        <v>2438</v>
      </c>
      <c r="E380" s="12" t="s">
        <v>1530</v>
      </c>
      <c r="F380" s="18" t="s">
        <v>1779</v>
      </c>
      <c r="G380" s="8"/>
      <c r="H380" s="8">
        <v>600</v>
      </c>
      <c r="I380" s="8">
        <f>2+30+1+1+1+2+2+3</f>
        <v>42</v>
      </c>
      <c r="J380" s="8"/>
      <c r="K380" s="8">
        <f>+G380+H380-I380+J380</f>
        <v>558</v>
      </c>
      <c r="L380" s="8"/>
      <c r="M380" s="9">
        <v>33.235999999999997</v>
      </c>
      <c r="N380" s="9">
        <f t="shared" si="33"/>
        <v>18545.687999999998</v>
      </c>
      <c r="O380" s="9"/>
      <c r="P380" s="9"/>
      <c r="Q380" s="10" t="s">
        <v>235</v>
      </c>
    </row>
    <row r="381" spans="1:17" s="11" customFormat="1" ht="39.950000000000003" customHeight="1" x14ac:dyDescent="0.3">
      <c r="A381" s="18" t="s">
        <v>898</v>
      </c>
      <c r="B381" s="23">
        <v>45392</v>
      </c>
      <c r="C381" s="8"/>
      <c r="D381" s="25" t="s">
        <v>2436</v>
      </c>
      <c r="E381" s="12" t="s">
        <v>1690</v>
      </c>
      <c r="F381" s="18" t="s">
        <v>1779</v>
      </c>
      <c r="G381" s="8">
        <v>5</v>
      </c>
      <c r="H381" s="8"/>
      <c r="I381" s="8"/>
      <c r="J381" s="8">
        <v>0</v>
      </c>
      <c r="K381" s="8">
        <f>+G381+H381-I381+J381</f>
        <v>5</v>
      </c>
      <c r="L381" s="8"/>
      <c r="M381" s="9">
        <v>30</v>
      </c>
      <c r="N381" s="9">
        <v>150</v>
      </c>
      <c r="O381" s="9"/>
      <c r="P381" s="9"/>
      <c r="Q381" s="10" t="s">
        <v>1887</v>
      </c>
    </row>
    <row r="382" spans="1:17" s="11" customFormat="1" ht="39.950000000000003" customHeight="1" x14ac:dyDescent="0.3">
      <c r="A382" s="18" t="s">
        <v>899</v>
      </c>
      <c r="B382" s="23">
        <v>45392</v>
      </c>
      <c r="C382" s="8"/>
      <c r="D382" s="25" t="s">
        <v>2436</v>
      </c>
      <c r="E382" s="12" t="s">
        <v>1688</v>
      </c>
      <c r="F382" s="18" t="s">
        <v>1779</v>
      </c>
      <c r="G382" s="8">
        <v>10</v>
      </c>
      <c r="H382" s="8"/>
      <c r="I382" s="8"/>
      <c r="J382" s="8">
        <v>0</v>
      </c>
      <c r="K382" s="8">
        <f>+G382+H382-I382+J382</f>
        <v>10</v>
      </c>
      <c r="L382" s="8"/>
      <c r="M382" s="9">
        <v>60</v>
      </c>
      <c r="N382" s="9">
        <v>600</v>
      </c>
      <c r="O382" s="9"/>
      <c r="P382" s="9"/>
      <c r="Q382" s="10" t="s">
        <v>1887</v>
      </c>
    </row>
    <row r="383" spans="1:17" s="11" customFormat="1" ht="39.950000000000003" customHeight="1" x14ac:dyDescent="0.3">
      <c r="A383" s="18" t="s">
        <v>900</v>
      </c>
      <c r="B383" s="23">
        <v>45789</v>
      </c>
      <c r="C383" s="8"/>
      <c r="D383" s="25"/>
      <c r="E383" s="12" t="s">
        <v>2107</v>
      </c>
      <c r="F383" s="18" t="s">
        <v>1779</v>
      </c>
      <c r="G383" s="8"/>
      <c r="H383" s="8">
        <v>4</v>
      </c>
      <c r="I383" s="8">
        <v>4</v>
      </c>
      <c r="J383" s="8"/>
      <c r="K383" s="8">
        <f>+G383+H383-I383+J383</f>
        <v>0</v>
      </c>
      <c r="L383" s="8"/>
      <c r="M383" s="9">
        <f>165.2/4</f>
        <v>41.3</v>
      </c>
      <c r="N383" s="9">
        <f>+K383*M383</f>
        <v>0</v>
      </c>
      <c r="O383" s="9"/>
      <c r="P383" s="9"/>
      <c r="Q383" s="10" t="s">
        <v>1321</v>
      </c>
    </row>
    <row r="384" spans="1:17" s="11" customFormat="1" ht="39.950000000000003" customHeight="1" x14ac:dyDescent="0.3">
      <c r="A384" s="18" t="s">
        <v>901</v>
      </c>
      <c r="B384" s="23">
        <v>45799</v>
      </c>
      <c r="C384" s="8">
        <v>10</v>
      </c>
      <c r="D384" s="25" t="s">
        <v>2326</v>
      </c>
      <c r="E384" s="12" t="s">
        <v>1859</v>
      </c>
      <c r="F384" s="18" t="s">
        <v>1780</v>
      </c>
      <c r="G384" s="8"/>
      <c r="H384" s="8">
        <v>25</v>
      </c>
      <c r="I384" s="8"/>
      <c r="J384" s="8"/>
      <c r="K384" s="8">
        <f>+G384+H384+-I384</f>
        <v>25</v>
      </c>
      <c r="L384" s="8">
        <v>25</v>
      </c>
      <c r="M384" s="9">
        <v>472</v>
      </c>
      <c r="N384" s="9">
        <f>+K384*M384</f>
        <v>11800</v>
      </c>
      <c r="O384" s="9"/>
      <c r="P384" s="9"/>
      <c r="Q384" s="10" t="s">
        <v>1191</v>
      </c>
    </row>
    <row r="385" spans="1:17" s="11" customFormat="1" ht="39.950000000000003" customHeight="1" x14ac:dyDescent="0.3">
      <c r="A385" s="18" t="s">
        <v>902</v>
      </c>
      <c r="B385" s="23">
        <v>45811</v>
      </c>
      <c r="C385" s="8">
        <v>30</v>
      </c>
      <c r="D385" s="25" t="s">
        <v>2324</v>
      </c>
      <c r="E385" s="12" t="s">
        <v>2160</v>
      </c>
      <c r="F385" s="18" t="s">
        <v>1779</v>
      </c>
      <c r="G385" s="8"/>
      <c r="H385" s="8">
        <v>6</v>
      </c>
      <c r="I385" s="8">
        <v>1</v>
      </c>
      <c r="J385" s="8"/>
      <c r="K385" s="8">
        <f>+G385+H385-I385+J385</f>
        <v>5</v>
      </c>
      <c r="L385" s="8"/>
      <c r="M385" s="9">
        <v>153</v>
      </c>
      <c r="N385" s="9">
        <f>+K385*M385</f>
        <v>765</v>
      </c>
      <c r="O385" s="9"/>
      <c r="P385" s="9"/>
      <c r="Q385" s="10" t="s">
        <v>1479</v>
      </c>
    </row>
    <row r="386" spans="1:17" s="11" customFormat="1" ht="39.950000000000003" customHeight="1" x14ac:dyDescent="0.3">
      <c r="A386" s="18" t="s">
        <v>903</v>
      </c>
      <c r="B386" s="23">
        <v>44193</v>
      </c>
      <c r="C386" s="8"/>
      <c r="D386" s="25"/>
      <c r="E386" s="12" t="s">
        <v>1510</v>
      </c>
      <c r="F386" s="18" t="s">
        <v>1779</v>
      </c>
      <c r="G386" s="8"/>
      <c r="H386" s="8">
        <v>10</v>
      </c>
      <c r="I386" s="8"/>
      <c r="J386" s="8"/>
      <c r="K386" s="8">
        <f>+G386+H386-I386+J386</f>
        <v>10</v>
      </c>
      <c r="L386" s="8"/>
      <c r="M386" s="9">
        <v>522.95240000000001</v>
      </c>
      <c r="N386" s="9">
        <f>+K386*M386</f>
        <v>5229.5240000000003</v>
      </c>
      <c r="O386" s="9"/>
      <c r="P386" s="9"/>
      <c r="Q386" s="10" t="s">
        <v>1479</v>
      </c>
    </row>
    <row r="387" spans="1:17" s="11" customFormat="1" ht="39.950000000000003" customHeight="1" x14ac:dyDescent="0.3">
      <c r="A387" s="18" t="s">
        <v>904</v>
      </c>
      <c r="B387" s="23" t="s">
        <v>1971</v>
      </c>
      <c r="C387" s="8">
        <v>10</v>
      </c>
      <c r="D387" s="25" t="s">
        <v>2326</v>
      </c>
      <c r="E387" s="12" t="s">
        <v>2013</v>
      </c>
      <c r="F387" s="18" t="s">
        <v>1779</v>
      </c>
      <c r="G387" s="8"/>
      <c r="H387" s="8">
        <v>20</v>
      </c>
      <c r="I387" s="8">
        <v>1</v>
      </c>
      <c r="J387" s="8"/>
      <c r="K387" s="8">
        <f>+G387+H387-I387+J387</f>
        <v>19</v>
      </c>
      <c r="L387" s="8">
        <f>12+8</f>
        <v>20</v>
      </c>
      <c r="M387" s="9">
        <v>1126</v>
      </c>
      <c r="N387" s="9">
        <f>+K387*M387</f>
        <v>21394</v>
      </c>
      <c r="O387" s="9"/>
      <c r="P387" s="9"/>
      <c r="Q387" s="10" t="s">
        <v>1191</v>
      </c>
    </row>
    <row r="388" spans="1:17" s="11" customFormat="1" ht="39.950000000000003" customHeight="1" x14ac:dyDescent="0.3">
      <c r="A388" s="18" t="s">
        <v>905</v>
      </c>
      <c r="B388" s="23"/>
      <c r="C388" s="8"/>
      <c r="D388" s="25" t="s">
        <v>2326</v>
      </c>
      <c r="E388" s="12" t="s">
        <v>1216</v>
      </c>
      <c r="F388" s="18" t="s">
        <v>1779</v>
      </c>
      <c r="G388" s="8"/>
      <c r="H388" s="8">
        <v>10</v>
      </c>
      <c r="I388" s="8">
        <v>10</v>
      </c>
      <c r="J388" s="8"/>
      <c r="K388" s="8">
        <f>+G388+H388+-I388</f>
        <v>0</v>
      </c>
      <c r="L388" s="8"/>
      <c r="M388" s="9">
        <v>1368.8</v>
      </c>
      <c r="N388" s="9">
        <v>1368.8</v>
      </c>
      <c r="O388" s="9"/>
      <c r="P388" s="9"/>
      <c r="Q388" s="10" t="s">
        <v>1191</v>
      </c>
    </row>
    <row r="389" spans="1:17" s="11" customFormat="1" ht="39.950000000000003" customHeight="1" x14ac:dyDescent="0.3">
      <c r="A389" s="18" t="s">
        <v>906</v>
      </c>
      <c r="B389" s="23"/>
      <c r="C389" s="8"/>
      <c r="D389" s="25" t="s">
        <v>2326</v>
      </c>
      <c r="E389" s="12" t="s">
        <v>1217</v>
      </c>
      <c r="F389" s="18" t="s">
        <v>1779</v>
      </c>
      <c r="G389" s="8">
        <v>15</v>
      </c>
      <c r="H389" s="8"/>
      <c r="I389" s="8">
        <f>1+1+2+1+1</f>
        <v>6</v>
      </c>
      <c r="J389" s="8"/>
      <c r="K389" s="8">
        <f>+G389+H389-I389</f>
        <v>9</v>
      </c>
      <c r="L389" s="8">
        <v>9</v>
      </c>
      <c r="M389" s="9"/>
      <c r="N389" s="9"/>
      <c r="O389" s="9">
        <v>1368.8</v>
      </c>
      <c r="P389" s="9">
        <f>+K389*O389</f>
        <v>12319.199999999999</v>
      </c>
      <c r="Q389" s="10" t="s">
        <v>1191</v>
      </c>
    </row>
    <row r="390" spans="1:17" s="11" customFormat="1" ht="39.950000000000003" customHeight="1" x14ac:dyDescent="0.3">
      <c r="A390" s="18" t="s">
        <v>907</v>
      </c>
      <c r="B390" s="23"/>
      <c r="C390" s="8"/>
      <c r="D390" s="25" t="s">
        <v>2385</v>
      </c>
      <c r="E390" s="12" t="s">
        <v>329</v>
      </c>
      <c r="F390" s="18" t="s">
        <v>1779</v>
      </c>
      <c r="G390" s="8">
        <v>9</v>
      </c>
      <c r="H390" s="8"/>
      <c r="I390" s="8">
        <f>1+1+1+1</f>
        <v>4</v>
      </c>
      <c r="J390" s="8"/>
      <c r="K390" s="8">
        <f>+G390+H390+-I390</f>
        <v>5</v>
      </c>
      <c r="L390" s="8"/>
      <c r="M390" s="9">
        <v>118.35</v>
      </c>
      <c r="N390" s="9">
        <f t="shared" ref="N390:N421" si="34">+K390*M390</f>
        <v>591.75</v>
      </c>
      <c r="O390" s="9"/>
      <c r="P390" s="9"/>
      <c r="Q390" s="10" t="s">
        <v>297</v>
      </c>
    </row>
    <row r="391" spans="1:17" s="11" customFormat="1" ht="39.950000000000003" customHeight="1" x14ac:dyDescent="0.3">
      <c r="A391" s="18" t="s">
        <v>908</v>
      </c>
      <c r="B391" s="23"/>
      <c r="C391" s="8"/>
      <c r="D391" s="25" t="s">
        <v>2438</v>
      </c>
      <c r="E391" s="12" t="s">
        <v>14</v>
      </c>
      <c r="F391" s="18" t="s">
        <v>1779</v>
      </c>
      <c r="G391" s="8">
        <v>1</v>
      </c>
      <c r="H391" s="8"/>
      <c r="I391" s="8"/>
      <c r="J391" s="8"/>
      <c r="K391" s="8">
        <f t="shared" ref="K391:K399" si="35">+G391+H391-I391</f>
        <v>1</v>
      </c>
      <c r="L391" s="8"/>
      <c r="M391" s="9">
        <v>1099</v>
      </c>
      <c r="N391" s="9">
        <f t="shared" si="34"/>
        <v>1099</v>
      </c>
      <c r="O391" s="9"/>
      <c r="P391" s="9"/>
      <c r="Q391" s="10" t="s">
        <v>6</v>
      </c>
    </row>
    <row r="392" spans="1:17" s="11" customFormat="1" ht="39.950000000000003" customHeight="1" x14ac:dyDescent="0.3">
      <c r="A392" s="18" t="s">
        <v>909</v>
      </c>
      <c r="B392" s="23"/>
      <c r="C392" s="8"/>
      <c r="D392" s="25" t="s">
        <v>2438</v>
      </c>
      <c r="E392" s="12" t="s">
        <v>5</v>
      </c>
      <c r="F392" s="18" t="s">
        <v>1779</v>
      </c>
      <c r="G392" s="8">
        <v>6</v>
      </c>
      <c r="H392" s="8"/>
      <c r="I392" s="8"/>
      <c r="J392" s="8"/>
      <c r="K392" s="8">
        <f t="shared" si="35"/>
        <v>6</v>
      </c>
      <c r="L392" s="8"/>
      <c r="M392" s="9">
        <v>1099</v>
      </c>
      <c r="N392" s="9">
        <f t="shared" si="34"/>
        <v>6594</v>
      </c>
      <c r="O392" s="9"/>
      <c r="P392" s="9"/>
      <c r="Q392" s="10" t="s">
        <v>6</v>
      </c>
    </row>
    <row r="393" spans="1:17" s="11" customFormat="1" ht="39.950000000000003" customHeight="1" x14ac:dyDescent="0.3">
      <c r="A393" s="18" t="s">
        <v>910</v>
      </c>
      <c r="B393" s="23" t="s">
        <v>4</v>
      </c>
      <c r="C393" s="8"/>
      <c r="D393" s="25" t="s">
        <v>2438</v>
      </c>
      <c r="E393" s="12" t="s">
        <v>16</v>
      </c>
      <c r="F393" s="18" t="s">
        <v>1779</v>
      </c>
      <c r="G393" s="8">
        <v>3</v>
      </c>
      <c r="H393" s="8"/>
      <c r="I393" s="8"/>
      <c r="J393" s="8"/>
      <c r="K393" s="8">
        <f t="shared" si="35"/>
        <v>3</v>
      </c>
      <c r="L393" s="8"/>
      <c r="M393" s="9">
        <v>1400</v>
      </c>
      <c r="N393" s="9">
        <f t="shared" si="34"/>
        <v>4200</v>
      </c>
      <c r="O393" s="9"/>
      <c r="P393" s="9"/>
      <c r="Q393" s="10" t="s">
        <v>6</v>
      </c>
    </row>
    <row r="394" spans="1:17" s="11" customFormat="1" ht="39.950000000000003" customHeight="1" x14ac:dyDescent="0.3">
      <c r="A394" s="18" t="s">
        <v>2510</v>
      </c>
      <c r="B394" s="23" t="s">
        <v>220</v>
      </c>
      <c r="C394" s="8"/>
      <c r="D394" s="25" t="s">
        <v>2438</v>
      </c>
      <c r="E394" s="12" t="s">
        <v>7</v>
      </c>
      <c r="F394" s="18" t="s">
        <v>1779</v>
      </c>
      <c r="G394" s="8">
        <v>2</v>
      </c>
      <c r="H394" s="8"/>
      <c r="I394" s="8">
        <v>1</v>
      </c>
      <c r="J394" s="8"/>
      <c r="K394" s="8">
        <f t="shared" si="35"/>
        <v>1</v>
      </c>
      <c r="L394" s="8"/>
      <c r="M394" s="9">
        <v>1099</v>
      </c>
      <c r="N394" s="9">
        <f t="shared" si="34"/>
        <v>1099</v>
      </c>
      <c r="O394" s="9"/>
      <c r="P394" s="9"/>
      <c r="Q394" s="10" t="s">
        <v>6</v>
      </c>
    </row>
    <row r="395" spans="1:17" s="11" customFormat="1" ht="39.950000000000003" customHeight="1" x14ac:dyDescent="0.3">
      <c r="A395" s="18" t="s">
        <v>2511</v>
      </c>
      <c r="B395" s="23" t="s">
        <v>4</v>
      </c>
      <c r="C395" s="8"/>
      <c r="D395" s="25" t="s">
        <v>2438</v>
      </c>
      <c r="E395" s="12" t="s">
        <v>8</v>
      </c>
      <c r="F395" s="18" t="s">
        <v>1779</v>
      </c>
      <c r="G395" s="8">
        <v>2</v>
      </c>
      <c r="H395" s="8"/>
      <c r="I395" s="8"/>
      <c r="J395" s="8"/>
      <c r="K395" s="8">
        <f t="shared" si="35"/>
        <v>2</v>
      </c>
      <c r="L395" s="8"/>
      <c r="M395" s="9">
        <v>1099</v>
      </c>
      <c r="N395" s="9">
        <f t="shared" si="34"/>
        <v>2198</v>
      </c>
      <c r="O395" s="9"/>
      <c r="P395" s="9"/>
      <c r="Q395" s="10" t="s">
        <v>6</v>
      </c>
    </row>
    <row r="396" spans="1:17" s="11" customFormat="1" ht="39.950000000000003" customHeight="1" x14ac:dyDescent="0.3">
      <c r="A396" s="18" t="s">
        <v>2512</v>
      </c>
      <c r="B396" s="23"/>
      <c r="C396" s="8"/>
      <c r="D396" s="25" t="s">
        <v>2438</v>
      </c>
      <c r="E396" s="12" t="s">
        <v>9</v>
      </c>
      <c r="F396" s="18" t="s">
        <v>1779</v>
      </c>
      <c r="G396" s="8">
        <v>12</v>
      </c>
      <c r="H396" s="8"/>
      <c r="I396" s="8"/>
      <c r="J396" s="8"/>
      <c r="K396" s="8">
        <f t="shared" si="35"/>
        <v>12</v>
      </c>
      <c r="L396" s="8"/>
      <c r="M396" s="9">
        <v>1099</v>
      </c>
      <c r="N396" s="9">
        <f t="shared" si="34"/>
        <v>13188</v>
      </c>
      <c r="O396" s="9"/>
      <c r="P396" s="9"/>
      <c r="Q396" s="10" t="s">
        <v>6</v>
      </c>
    </row>
    <row r="397" spans="1:17" s="11" customFormat="1" ht="39.950000000000003" customHeight="1" x14ac:dyDescent="0.3">
      <c r="A397" s="18" t="s">
        <v>911</v>
      </c>
      <c r="B397" s="23">
        <v>45474</v>
      </c>
      <c r="C397" s="8"/>
      <c r="D397" s="25" t="s">
        <v>2438</v>
      </c>
      <c r="E397" s="12" t="s">
        <v>10</v>
      </c>
      <c r="F397" s="18" t="s">
        <v>1779</v>
      </c>
      <c r="G397" s="8">
        <v>3</v>
      </c>
      <c r="H397" s="8"/>
      <c r="I397" s="8"/>
      <c r="J397" s="8"/>
      <c r="K397" s="8">
        <f t="shared" si="35"/>
        <v>3</v>
      </c>
      <c r="L397" s="8"/>
      <c r="M397" s="9">
        <v>1400</v>
      </c>
      <c r="N397" s="9">
        <f t="shared" si="34"/>
        <v>4200</v>
      </c>
      <c r="O397" s="9"/>
      <c r="P397" s="9"/>
      <c r="Q397" s="10" t="s">
        <v>6</v>
      </c>
    </row>
    <row r="398" spans="1:17" s="11" customFormat="1" ht="39.950000000000003" customHeight="1" x14ac:dyDescent="0.3">
      <c r="A398" s="18" t="s">
        <v>912</v>
      </c>
      <c r="B398" s="23" t="s">
        <v>225</v>
      </c>
      <c r="C398" s="8"/>
      <c r="D398" s="25" t="s">
        <v>2438</v>
      </c>
      <c r="E398" s="12" t="s">
        <v>12</v>
      </c>
      <c r="F398" s="18" t="s">
        <v>1779</v>
      </c>
      <c r="G398" s="8">
        <v>10</v>
      </c>
      <c r="H398" s="8"/>
      <c r="I398" s="8"/>
      <c r="J398" s="8"/>
      <c r="K398" s="8">
        <f t="shared" si="35"/>
        <v>10</v>
      </c>
      <c r="L398" s="8"/>
      <c r="M398" s="9">
        <v>1400</v>
      </c>
      <c r="N398" s="9">
        <f t="shared" si="34"/>
        <v>14000</v>
      </c>
      <c r="O398" s="9"/>
      <c r="P398" s="9"/>
      <c r="Q398" s="10" t="s">
        <v>6</v>
      </c>
    </row>
    <row r="399" spans="1:17" s="11" customFormat="1" ht="39.950000000000003" customHeight="1" x14ac:dyDescent="0.3">
      <c r="A399" s="18" t="s">
        <v>913</v>
      </c>
      <c r="B399" s="23"/>
      <c r="C399" s="8"/>
      <c r="D399" s="25" t="s">
        <v>2438</v>
      </c>
      <c r="E399" s="12" t="s">
        <v>11</v>
      </c>
      <c r="F399" s="18" t="s">
        <v>1779</v>
      </c>
      <c r="G399" s="8">
        <v>6</v>
      </c>
      <c r="H399" s="8"/>
      <c r="I399" s="8">
        <v>2</v>
      </c>
      <c r="J399" s="8"/>
      <c r="K399" s="8">
        <f t="shared" si="35"/>
        <v>4</v>
      </c>
      <c r="L399" s="8"/>
      <c r="M399" s="9">
        <v>1400</v>
      </c>
      <c r="N399" s="9">
        <f t="shared" si="34"/>
        <v>5600</v>
      </c>
      <c r="O399" s="9"/>
      <c r="P399" s="9"/>
      <c r="Q399" s="10" t="s">
        <v>6</v>
      </c>
    </row>
    <row r="400" spans="1:17" s="11" customFormat="1" ht="39.950000000000003" customHeight="1" x14ac:dyDescent="0.3">
      <c r="A400" s="18" t="s">
        <v>914</v>
      </c>
      <c r="B400" s="23" t="s">
        <v>1589</v>
      </c>
      <c r="C400" s="8"/>
      <c r="D400" s="25" t="s">
        <v>2322</v>
      </c>
      <c r="E400" s="12" t="s">
        <v>1212</v>
      </c>
      <c r="F400" s="18" t="s">
        <v>1779</v>
      </c>
      <c r="G400" s="8"/>
      <c r="H400" s="8">
        <f>80+115</f>
        <v>195</v>
      </c>
      <c r="I400" s="8">
        <f>12+4+4+8+4+2+88+4+4+2</f>
        <v>132</v>
      </c>
      <c r="J400" s="8"/>
      <c r="K400" s="8">
        <f>+G400+H400+-I400</f>
        <v>63</v>
      </c>
      <c r="L400" s="8"/>
      <c r="M400" s="9">
        <v>2006</v>
      </c>
      <c r="N400" s="9">
        <f t="shared" si="34"/>
        <v>126378</v>
      </c>
      <c r="O400" s="9"/>
      <c r="P400" s="9"/>
      <c r="Q400" s="10" t="s">
        <v>433</v>
      </c>
    </row>
    <row r="401" spans="1:17" s="11" customFormat="1" ht="39.950000000000003" customHeight="1" x14ac:dyDescent="0.3">
      <c r="A401" s="18" t="s">
        <v>915</v>
      </c>
      <c r="B401" s="23"/>
      <c r="C401" s="8"/>
      <c r="D401" s="25" t="s">
        <v>2321</v>
      </c>
      <c r="E401" s="12" t="s">
        <v>1258</v>
      </c>
      <c r="F401" s="18" t="s">
        <v>1779</v>
      </c>
      <c r="G401" s="8">
        <v>4</v>
      </c>
      <c r="H401" s="8"/>
      <c r="I401" s="8"/>
      <c r="J401" s="8"/>
      <c r="K401" s="8">
        <f>+G401+H401+-I401</f>
        <v>4</v>
      </c>
      <c r="L401" s="8"/>
      <c r="M401" s="9">
        <v>309.83999999999997</v>
      </c>
      <c r="N401" s="9">
        <f t="shared" si="34"/>
        <v>1239.3599999999999</v>
      </c>
      <c r="O401" s="9"/>
      <c r="P401" s="9"/>
      <c r="Q401" s="10" t="s">
        <v>433</v>
      </c>
    </row>
    <row r="402" spans="1:17" s="11" customFormat="1" ht="39.950000000000003" customHeight="1" x14ac:dyDescent="0.3">
      <c r="A402" s="18" t="s">
        <v>916</v>
      </c>
      <c r="B402" s="23">
        <v>45474</v>
      </c>
      <c r="C402" s="8"/>
      <c r="D402" s="25" t="s">
        <v>2385</v>
      </c>
      <c r="E402" s="12" t="s">
        <v>501</v>
      </c>
      <c r="F402" s="18" t="s">
        <v>1779</v>
      </c>
      <c r="G402" s="8">
        <v>91</v>
      </c>
      <c r="H402" s="8"/>
      <c r="I402" s="8"/>
      <c r="J402" s="8"/>
      <c r="K402" s="8">
        <f>+G402+H402+-I402</f>
        <v>91</v>
      </c>
      <c r="L402" s="8"/>
      <c r="M402" s="9">
        <v>28</v>
      </c>
      <c r="N402" s="9">
        <f t="shared" si="34"/>
        <v>2548</v>
      </c>
      <c r="O402" s="9"/>
      <c r="P402" s="9"/>
      <c r="Q402" s="10" t="s">
        <v>500</v>
      </c>
    </row>
    <row r="403" spans="1:17" s="11" customFormat="1" ht="39.950000000000003" customHeight="1" x14ac:dyDescent="0.3">
      <c r="A403" s="18" t="s">
        <v>917</v>
      </c>
      <c r="B403" s="23">
        <v>45474</v>
      </c>
      <c r="C403" s="8"/>
      <c r="D403" s="12" t="s">
        <v>2394</v>
      </c>
      <c r="E403" s="12" t="s">
        <v>1286</v>
      </c>
      <c r="F403" s="18" t="s">
        <v>1779</v>
      </c>
      <c r="G403" s="8"/>
      <c r="H403" s="8">
        <v>30</v>
      </c>
      <c r="I403" s="8">
        <f>1+1+1+1</f>
        <v>4</v>
      </c>
      <c r="J403" s="8"/>
      <c r="K403" s="8">
        <f>+G403+H403-I403+J403</f>
        <v>26</v>
      </c>
      <c r="L403" s="8"/>
      <c r="M403" s="9">
        <v>306.8</v>
      </c>
      <c r="N403" s="9">
        <f t="shared" si="34"/>
        <v>7976.8</v>
      </c>
      <c r="O403" s="9"/>
      <c r="P403" s="9"/>
      <c r="Q403" s="10" t="s">
        <v>25</v>
      </c>
    </row>
    <row r="404" spans="1:17" s="11" customFormat="1" ht="39.950000000000003" customHeight="1" x14ac:dyDescent="0.3">
      <c r="A404" s="18" t="s">
        <v>918</v>
      </c>
      <c r="B404" s="23"/>
      <c r="C404" s="8"/>
      <c r="D404" s="12" t="s">
        <v>2394</v>
      </c>
      <c r="E404" s="12" t="s">
        <v>1337</v>
      </c>
      <c r="F404" s="18" t="s">
        <v>1779</v>
      </c>
      <c r="G404" s="8"/>
      <c r="H404" s="8">
        <v>17</v>
      </c>
      <c r="I404" s="8">
        <v>1</v>
      </c>
      <c r="J404" s="8"/>
      <c r="K404" s="8">
        <f>+G404+H404-I404+J404</f>
        <v>16</v>
      </c>
      <c r="L404" s="8"/>
      <c r="M404" s="9">
        <v>343</v>
      </c>
      <c r="N404" s="9">
        <f t="shared" si="34"/>
        <v>5488</v>
      </c>
      <c r="O404" s="9"/>
      <c r="P404" s="9"/>
      <c r="Q404" s="10" t="s">
        <v>25</v>
      </c>
    </row>
    <row r="405" spans="1:17" s="11" customFormat="1" ht="39.950000000000003" customHeight="1" x14ac:dyDescent="0.3">
      <c r="A405" s="18" t="s">
        <v>919</v>
      </c>
      <c r="B405" s="23">
        <v>45474</v>
      </c>
      <c r="C405" s="8">
        <v>10</v>
      </c>
      <c r="D405" s="25" t="s">
        <v>2385</v>
      </c>
      <c r="E405" s="12" t="s">
        <v>330</v>
      </c>
      <c r="F405" s="18" t="s">
        <v>1779</v>
      </c>
      <c r="G405" s="8">
        <v>1</v>
      </c>
      <c r="H405" s="8"/>
      <c r="I405" s="8"/>
      <c r="J405" s="8"/>
      <c r="K405" s="8">
        <f t="shared" ref="K405:K412" si="36">+G405+H405+-I405</f>
        <v>1</v>
      </c>
      <c r="L405" s="8"/>
      <c r="M405" s="9">
        <v>275</v>
      </c>
      <c r="N405" s="9">
        <f t="shared" si="34"/>
        <v>275</v>
      </c>
      <c r="O405" s="9"/>
      <c r="P405" s="9"/>
      <c r="Q405" s="10" t="s">
        <v>297</v>
      </c>
    </row>
    <row r="406" spans="1:17" s="11" customFormat="1" ht="39.950000000000003" customHeight="1" x14ac:dyDescent="0.3">
      <c r="A406" s="18" t="s">
        <v>920</v>
      </c>
      <c r="B406" s="23" t="s">
        <v>4</v>
      </c>
      <c r="C406" s="8"/>
      <c r="D406" s="25" t="s">
        <v>2438</v>
      </c>
      <c r="E406" s="12" t="s">
        <v>258</v>
      </c>
      <c r="F406" s="18" t="s">
        <v>1779</v>
      </c>
      <c r="G406" s="8">
        <v>12</v>
      </c>
      <c r="H406" s="8"/>
      <c r="I406" s="8"/>
      <c r="J406" s="8"/>
      <c r="K406" s="8">
        <f t="shared" si="36"/>
        <v>12</v>
      </c>
      <c r="L406" s="8"/>
      <c r="M406" s="9">
        <v>115.53</v>
      </c>
      <c r="N406" s="9">
        <f t="shared" si="34"/>
        <v>1386.3600000000001</v>
      </c>
      <c r="O406" s="9"/>
      <c r="P406" s="9"/>
      <c r="Q406" s="10" t="s">
        <v>235</v>
      </c>
    </row>
    <row r="407" spans="1:17" s="11" customFormat="1" ht="39.950000000000003" customHeight="1" x14ac:dyDescent="0.3">
      <c r="A407" s="18" t="s">
        <v>921</v>
      </c>
      <c r="B407" s="23"/>
      <c r="C407" s="8"/>
      <c r="D407" s="25" t="s">
        <v>2438</v>
      </c>
      <c r="E407" s="12" t="s">
        <v>259</v>
      </c>
      <c r="F407" s="18" t="s">
        <v>1779</v>
      </c>
      <c r="G407" s="8">
        <f>82-24</f>
        <v>58</v>
      </c>
      <c r="H407" s="8"/>
      <c r="I407" s="8">
        <f>6+4+2-3+1</f>
        <v>10</v>
      </c>
      <c r="J407" s="8"/>
      <c r="K407" s="8">
        <f t="shared" si="36"/>
        <v>48</v>
      </c>
      <c r="L407" s="8"/>
      <c r="M407" s="9">
        <v>154.51</v>
      </c>
      <c r="N407" s="9">
        <f t="shared" si="34"/>
        <v>7416.48</v>
      </c>
      <c r="O407" s="9"/>
      <c r="P407" s="9"/>
      <c r="Q407" s="10" t="s">
        <v>235</v>
      </c>
    </row>
    <row r="408" spans="1:17" s="11" customFormat="1" ht="39.950000000000003" customHeight="1" x14ac:dyDescent="0.3">
      <c r="A408" s="18" t="s">
        <v>922</v>
      </c>
      <c r="B408" s="23"/>
      <c r="C408" s="8"/>
      <c r="D408" s="25" t="s">
        <v>2438</v>
      </c>
      <c r="E408" s="12" t="s">
        <v>1400</v>
      </c>
      <c r="F408" s="18" t="s">
        <v>1779</v>
      </c>
      <c r="G408" s="8">
        <f>60-1</f>
        <v>59</v>
      </c>
      <c r="H408" s="8"/>
      <c r="I408" s="8">
        <f>10+5+7+1</f>
        <v>23</v>
      </c>
      <c r="J408" s="8"/>
      <c r="K408" s="8">
        <f t="shared" si="36"/>
        <v>36</v>
      </c>
      <c r="L408" s="8"/>
      <c r="M408" s="9">
        <v>127.83</v>
      </c>
      <c r="N408" s="9">
        <f t="shared" si="34"/>
        <v>4601.88</v>
      </c>
      <c r="O408" s="9"/>
      <c r="P408" s="9"/>
      <c r="Q408" s="10" t="s">
        <v>235</v>
      </c>
    </row>
    <row r="409" spans="1:17" s="11" customFormat="1" ht="39.950000000000003" customHeight="1" x14ac:dyDescent="0.3">
      <c r="A409" s="18" t="s">
        <v>923</v>
      </c>
      <c r="B409" s="23">
        <v>45418</v>
      </c>
      <c r="C409" s="8"/>
      <c r="D409" s="25" t="s">
        <v>2438</v>
      </c>
      <c r="E409" s="12" t="s">
        <v>260</v>
      </c>
      <c r="F409" s="18" t="s">
        <v>1779</v>
      </c>
      <c r="G409" s="8">
        <v>5</v>
      </c>
      <c r="H409" s="8"/>
      <c r="I409" s="8">
        <v>5</v>
      </c>
      <c r="J409" s="8"/>
      <c r="K409" s="8">
        <f t="shared" si="36"/>
        <v>0</v>
      </c>
      <c r="L409" s="8"/>
      <c r="M409" s="9">
        <v>115.53</v>
      </c>
      <c r="N409" s="9">
        <f t="shared" si="34"/>
        <v>0</v>
      </c>
      <c r="O409" s="9"/>
      <c r="P409" s="9"/>
      <c r="Q409" s="10" t="s">
        <v>235</v>
      </c>
    </row>
    <row r="410" spans="1:17" s="11" customFormat="1" ht="39.950000000000003" customHeight="1" x14ac:dyDescent="0.3">
      <c r="A410" s="18" t="s">
        <v>924</v>
      </c>
      <c r="B410" s="23">
        <v>44193</v>
      </c>
      <c r="C410" s="8"/>
      <c r="D410" s="25" t="s">
        <v>2438</v>
      </c>
      <c r="E410" s="12" t="s">
        <v>261</v>
      </c>
      <c r="F410" s="18" t="s">
        <v>1779</v>
      </c>
      <c r="G410" s="8">
        <v>37</v>
      </c>
      <c r="H410" s="8"/>
      <c r="I410" s="8">
        <f>1+1+3+1+1+8-1+1+2</f>
        <v>17</v>
      </c>
      <c r="J410" s="8"/>
      <c r="K410" s="8">
        <f t="shared" si="36"/>
        <v>20</v>
      </c>
      <c r="L410" s="8"/>
      <c r="M410" s="9">
        <v>115.53</v>
      </c>
      <c r="N410" s="9">
        <f t="shared" si="34"/>
        <v>2310.6</v>
      </c>
      <c r="O410" s="9"/>
      <c r="P410" s="9"/>
      <c r="Q410" s="10" t="s">
        <v>235</v>
      </c>
    </row>
    <row r="411" spans="1:17" s="11" customFormat="1" ht="39.950000000000003" customHeight="1" x14ac:dyDescent="0.3">
      <c r="A411" s="18" t="s">
        <v>925</v>
      </c>
      <c r="B411" s="23">
        <v>44193</v>
      </c>
      <c r="C411" s="8"/>
      <c r="D411" s="25" t="s">
        <v>2438</v>
      </c>
      <c r="E411" s="12" t="s">
        <v>1976</v>
      </c>
      <c r="F411" s="18" t="s">
        <v>1779</v>
      </c>
      <c r="G411" s="8">
        <v>5</v>
      </c>
      <c r="H411" s="8"/>
      <c r="I411" s="8">
        <f>1+1</f>
        <v>2</v>
      </c>
      <c r="J411" s="8"/>
      <c r="K411" s="8">
        <f t="shared" si="36"/>
        <v>3</v>
      </c>
      <c r="L411" s="8"/>
      <c r="M411" s="9">
        <v>219</v>
      </c>
      <c r="N411" s="9">
        <f t="shared" si="34"/>
        <v>657</v>
      </c>
      <c r="O411" s="9"/>
      <c r="P411" s="9"/>
      <c r="Q411" s="10" t="s">
        <v>235</v>
      </c>
    </row>
    <row r="412" spans="1:17" s="11" customFormat="1" ht="39.950000000000003" customHeight="1" x14ac:dyDescent="0.3">
      <c r="A412" s="18" t="s">
        <v>926</v>
      </c>
      <c r="B412" s="23"/>
      <c r="C412" s="8"/>
      <c r="D412" s="25" t="s">
        <v>2438</v>
      </c>
      <c r="E412" s="12" t="s">
        <v>1977</v>
      </c>
      <c r="F412" s="18" t="s">
        <v>1779</v>
      </c>
      <c r="G412" s="8">
        <v>7</v>
      </c>
      <c r="H412" s="8"/>
      <c r="I412" s="8">
        <v>1</v>
      </c>
      <c r="J412" s="8"/>
      <c r="K412" s="8">
        <f t="shared" si="36"/>
        <v>6</v>
      </c>
      <c r="L412" s="8"/>
      <c r="M412" s="9">
        <v>79</v>
      </c>
      <c r="N412" s="9">
        <f t="shared" si="34"/>
        <v>474</v>
      </c>
      <c r="O412" s="9"/>
      <c r="P412" s="9"/>
      <c r="Q412" s="10" t="s">
        <v>235</v>
      </c>
    </row>
    <row r="413" spans="1:17" s="11" customFormat="1" ht="39.950000000000003" customHeight="1" x14ac:dyDescent="0.3">
      <c r="A413" s="18" t="s">
        <v>927</v>
      </c>
      <c r="B413" s="23" t="s">
        <v>1531</v>
      </c>
      <c r="C413" s="8"/>
      <c r="D413" s="25"/>
      <c r="E413" s="12" t="s">
        <v>1633</v>
      </c>
      <c r="F413" s="18" t="s">
        <v>1779</v>
      </c>
      <c r="G413" s="8"/>
      <c r="H413" s="8">
        <v>4</v>
      </c>
      <c r="I413" s="8">
        <v>4</v>
      </c>
      <c r="J413" s="8"/>
      <c r="K413" s="8">
        <f>+G413+H413-I413+J413</f>
        <v>0</v>
      </c>
      <c r="L413" s="8"/>
      <c r="M413" s="9">
        <v>1192.3900000000001</v>
      </c>
      <c r="N413" s="9">
        <f t="shared" si="34"/>
        <v>0</v>
      </c>
      <c r="O413" s="9"/>
      <c r="P413" s="9"/>
      <c r="Q413" s="10" t="s">
        <v>1479</v>
      </c>
    </row>
    <row r="414" spans="1:17" s="11" customFormat="1" ht="39.950000000000003" customHeight="1" x14ac:dyDescent="0.3">
      <c r="A414" s="18" t="s">
        <v>928</v>
      </c>
      <c r="B414" s="23" t="s">
        <v>1537</v>
      </c>
      <c r="C414" s="8"/>
      <c r="D414" s="25" t="s">
        <v>2326</v>
      </c>
      <c r="E414" s="12" t="s">
        <v>1234</v>
      </c>
      <c r="F414" s="18" t="s">
        <v>1780</v>
      </c>
      <c r="G414" s="8">
        <v>3</v>
      </c>
      <c r="H414" s="8"/>
      <c r="I414" s="8"/>
      <c r="J414" s="8"/>
      <c r="K414" s="8">
        <f>+G414+H414-I414</f>
        <v>3</v>
      </c>
      <c r="L414" s="8"/>
      <c r="M414" s="9">
        <v>1165.8399999999999</v>
      </c>
      <c r="N414" s="9">
        <f t="shared" si="34"/>
        <v>3497.5199999999995</v>
      </c>
      <c r="O414" s="9"/>
      <c r="P414" s="9"/>
      <c r="Q414" s="10" t="s">
        <v>1191</v>
      </c>
    </row>
    <row r="415" spans="1:17" s="11" customFormat="1" ht="39.950000000000003" customHeight="1" x14ac:dyDescent="0.3">
      <c r="A415" s="18" t="s">
        <v>929</v>
      </c>
      <c r="B415" s="23" t="s">
        <v>241</v>
      </c>
      <c r="C415" s="8"/>
      <c r="D415" s="25" t="s">
        <v>2324</v>
      </c>
      <c r="E415" s="12" t="s">
        <v>175</v>
      </c>
      <c r="F415" s="18" t="s">
        <v>1784</v>
      </c>
      <c r="G415" s="8">
        <v>1</v>
      </c>
      <c r="H415" s="8"/>
      <c r="I415" s="8"/>
      <c r="J415" s="8"/>
      <c r="K415" s="8">
        <f>+G415+H415+-I415</f>
        <v>1</v>
      </c>
      <c r="L415" s="8"/>
      <c r="M415" s="9">
        <v>4700</v>
      </c>
      <c r="N415" s="9">
        <f t="shared" si="34"/>
        <v>4700</v>
      </c>
      <c r="O415" s="9"/>
      <c r="P415" s="9"/>
      <c r="Q415" s="10" t="s">
        <v>1191</v>
      </c>
    </row>
    <row r="416" spans="1:17" s="11" customFormat="1" ht="39.950000000000003" customHeight="1" x14ac:dyDescent="0.3">
      <c r="A416" s="18" t="s">
        <v>930</v>
      </c>
      <c r="B416" s="23"/>
      <c r="C416" s="8"/>
      <c r="D416" s="25" t="s">
        <v>2324</v>
      </c>
      <c r="E416" s="12" t="s">
        <v>176</v>
      </c>
      <c r="F416" s="18" t="s">
        <v>1784</v>
      </c>
      <c r="G416" s="8">
        <v>1</v>
      </c>
      <c r="H416" s="8"/>
      <c r="I416" s="8"/>
      <c r="J416" s="8"/>
      <c r="K416" s="8">
        <f>+G416+H416+-I416</f>
        <v>1</v>
      </c>
      <c r="L416" s="8"/>
      <c r="M416" s="9">
        <v>4900</v>
      </c>
      <c r="N416" s="9">
        <f t="shared" si="34"/>
        <v>4900</v>
      </c>
      <c r="O416" s="9"/>
      <c r="P416" s="9"/>
      <c r="Q416" s="10" t="s">
        <v>1191</v>
      </c>
    </row>
    <row r="417" spans="1:17" s="11" customFormat="1" ht="39.950000000000003" customHeight="1" x14ac:dyDescent="0.3">
      <c r="A417" s="18" t="s">
        <v>931</v>
      </c>
      <c r="B417" s="23">
        <v>45803</v>
      </c>
      <c r="C417" s="8">
        <v>10</v>
      </c>
      <c r="D417" s="25" t="s">
        <v>2324</v>
      </c>
      <c r="E417" s="12" t="s">
        <v>2016</v>
      </c>
      <c r="F417" s="18" t="s">
        <v>1780</v>
      </c>
      <c r="G417" s="8"/>
      <c r="H417" s="8">
        <v>10</v>
      </c>
      <c r="I417" s="8"/>
      <c r="J417" s="8"/>
      <c r="K417" s="8">
        <f>+G417+H417-I417+J417</f>
        <v>10</v>
      </c>
      <c r="L417" s="8">
        <v>10</v>
      </c>
      <c r="M417" s="9">
        <v>4486</v>
      </c>
      <c r="N417" s="9">
        <f t="shared" si="34"/>
        <v>44860</v>
      </c>
      <c r="O417" s="9"/>
      <c r="P417" s="9"/>
      <c r="Q417" s="10" t="s">
        <v>1191</v>
      </c>
    </row>
    <row r="418" spans="1:17" s="11" customFormat="1" ht="39.950000000000003" customHeight="1" x14ac:dyDescent="0.3">
      <c r="A418" s="18" t="s">
        <v>932</v>
      </c>
      <c r="B418" s="23">
        <v>45803</v>
      </c>
      <c r="C418" s="8">
        <v>10</v>
      </c>
      <c r="D418" s="25" t="s">
        <v>2324</v>
      </c>
      <c r="E418" s="12" t="s">
        <v>2173</v>
      </c>
      <c r="F418" s="18" t="s">
        <v>1780</v>
      </c>
      <c r="G418" s="8"/>
      <c r="H418" s="8">
        <v>5</v>
      </c>
      <c r="I418" s="8"/>
      <c r="J418" s="8"/>
      <c r="K418" s="8">
        <f>+G418+H418-I418+J418</f>
        <v>5</v>
      </c>
      <c r="L418" s="8">
        <v>5</v>
      </c>
      <c r="M418" s="9">
        <v>4130</v>
      </c>
      <c r="N418" s="9">
        <f t="shared" si="34"/>
        <v>20650</v>
      </c>
      <c r="O418" s="9"/>
      <c r="P418" s="9"/>
      <c r="Q418" s="10" t="s">
        <v>1191</v>
      </c>
    </row>
    <row r="419" spans="1:17" s="11" customFormat="1" ht="20.25" customHeight="1" x14ac:dyDescent="0.3">
      <c r="A419" s="18" t="s">
        <v>933</v>
      </c>
      <c r="B419" s="23">
        <v>45803</v>
      </c>
      <c r="C419" s="8">
        <v>10</v>
      </c>
      <c r="D419" s="25" t="s">
        <v>2318</v>
      </c>
      <c r="E419" s="12" t="s">
        <v>2022</v>
      </c>
      <c r="F419" s="18" t="s">
        <v>1779</v>
      </c>
      <c r="G419" s="8"/>
      <c r="H419" s="8">
        <v>48</v>
      </c>
      <c r="I419" s="8"/>
      <c r="J419" s="8"/>
      <c r="K419" s="8">
        <f>+G419+H419-I419+J419</f>
        <v>48</v>
      </c>
      <c r="L419" s="8"/>
      <c r="M419" s="9">
        <v>57</v>
      </c>
      <c r="N419" s="9">
        <f t="shared" si="34"/>
        <v>2736</v>
      </c>
      <c r="O419" s="9"/>
      <c r="P419" s="9"/>
      <c r="Q419" s="10" t="s">
        <v>1191</v>
      </c>
    </row>
    <row r="420" spans="1:17" s="11" customFormat="1" ht="39.950000000000003" customHeight="1" x14ac:dyDescent="0.3">
      <c r="A420" s="18" t="s">
        <v>934</v>
      </c>
      <c r="B420" s="23">
        <v>45803</v>
      </c>
      <c r="C420" s="8">
        <v>10</v>
      </c>
      <c r="D420" s="25" t="s">
        <v>2318</v>
      </c>
      <c r="E420" s="12" t="s">
        <v>2021</v>
      </c>
      <c r="F420" s="18" t="s">
        <v>1779</v>
      </c>
      <c r="G420" s="8"/>
      <c r="H420" s="8">
        <v>48</v>
      </c>
      <c r="I420" s="8"/>
      <c r="J420" s="8"/>
      <c r="K420" s="8">
        <f>+G420+H420-I420+J420</f>
        <v>48</v>
      </c>
      <c r="L420" s="8"/>
      <c r="M420" s="9">
        <v>53</v>
      </c>
      <c r="N420" s="9">
        <f t="shared" si="34"/>
        <v>2544</v>
      </c>
      <c r="O420" s="9"/>
      <c r="P420" s="9"/>
      <c r="Q420" s="10" t="s">
        <v>1191</v>
      </c>
    </row>
    <row r="421" spans="1:17" s="11" customFormat="1" ht="39.950000000000003" customHeight="1" x14ac:dyDescent="0.3">
      <c r="A421" s="18" t="s">
        <v>935</v>
      </c>
      <c r="B421" s="23">
        <v>45799</v>
      </c>
      <c r="C421" s="8">
        <v>10</v>
      </c>
      <c r="D421" s="25" t="s">
        <v>2318</v>
      </c>
      <c r="E421" s="12" t="s">
        <v>1858</v>
      </c>
      <c r="F421" s="18" t="s">
        <v>1779</v>
      </c>
      <c r="G421" s="8">
        <v>8</v>
      </c>
      <c r="H421" s="8">
        <v>48</v>
      </c>
      <c r="I421" s="8">
        <f>1+1+1+1+2+1+1</f>
        <v>8</v>
      </c>
      <c r="J421" s="8"/>
      <c r="K421" s="8">
        <f>+G421+H421+-I421</f>
        <v>48</v>
      </c>
      <c r="L421" s="8">
        <v>48</v>
      </c>
      <c r="M421" s="9">
        <v>24</v>
      </c>
      <c r="N421" s="9">
        <f t="shared" si="34"/>
        <v>1152</v>
      </c>
      <c r="O421" s="9"/>
      <c r="P421" s="9"/>
      <c r="Q421" s="10" t="s">
        <v>109</v>
      </c>
    </row>
    <row r="422" spans="1:17" s="11" customFormat="1" ht="39.950000000000003" customHeight="1" x14ac:dyDescent="0.3">
      <c r="A422" s="18" t="s">
        <v>936</v>
      </c>
      <c r="B422" s="23"/>
      <c r="C422" s="8"/>
      <c r="D422" s="25" t="s">
        <v>2318</v>
      </c>
      <c r="E422" s="12" t="s">
        <v>117</v>
      </c>
      <c r="F422" s="18" t="s">
        <v>1779</v>
      </c>
      <c r="G422" s="8">
        <v>7</v>
      </c>
      <c r="H422" s="8"/>
      <c r="I422" s="8">
        <f>1+1</f>
        <v>2</v>
      </c>
      <c r="J422" s="8"/>
      <c r="K422" s="8">
        <f>+G422+H422-I422</f>
        <v>5</v>
      </c>
      <c r="L422" s="8"/>
      <c r="M422" s="9">
        <v>56.05</v>
      </c>
      <c r="N422" s="9">
        <f t="shared" ref="N422:N453" si="37">+K422*M422</f>
        <v>280.25</v>
      </c>
      <c r="O422" s="9"/>
      <c r="P422" s="9"/>
      <c r="Q422" s="10" t="s">
        <v>109</v>
      </c>
    </row>
    <row r="423" spans="1:17" s="11" customFormat="1" ht="39.950000000000003" customHeight="1" x14ac:dyDescent="0.3">
      <c r="A423" s="18" t="s">
        <v>937</v>
      </c>
      <c r="B423" s="23">
        <v>45799</v>
      </c>
      <c r="C423" s="8"/>
      <c r="D423" s="25" t="s">
        <v>2318</v>
      </c>
      <c r="E423" s="12" t="s">
        <v>1861</v>
      </c>
      <c r="F423" s="18" t="s">
        <v>1779</v>
      </c>
      <c r="G423" s="8"/>
      <c r="H423" s="8">
        <v>24</v>
      </c>
      <c r="I423" s="8">
        <v>1</v>
      </c>
      <c r="J423" s="8"/>
      <c r="K423" s="8">
        <f>+G423+H423+-I423</f>
        <v>23</v>
      </c>
      <c r="L423" s="8">
        <v>24</v>
      </c>
      <c r="M423" s="9">
        <v>30</v>
      </c>
      <c r="N423" s="9">
        <f t="shared" si="37"/>
        <v>690</v>
      </c>
      <c r="O423" s="9"/>
      <c r="P423" s="9"/>
      <c r="Q423" s="10" t="s">
        <v>1191</v>
      </c>
    </row>
    <row r="424" spans="1:17" s="11" customFormat="1" ht="39.950000000000003" customHeight="1" x14ac:dyDescent="0.3">
      <c r="A424" s="18" t="s">
        <v>938</v>
      </c>
      <c r="B424" s="23"/>
      <c r="C424" s="8"/>
      <c r="D424" s="25" t="s">
        <v>2318</v>
      </c>
      <c r="E424" s="12" t="s">
        <v>118</v>
      </c>
      <c r="F424" s="18" t="s">
        <v>1779</v>
      </c>
      <c r="G424" s="8">
        <v>10</v>
      </c>
      <c r="H424" s="8"/>
      <c r="I424" s="8">
        <f>1+1+1</f>
        <v>3</v>
      </c>
      <c r="J424" s="8"/>
      <c r="K424" s="8">
        <f>+G424+H424-I424</f>
        <v>7</v>
      </c>
      <c r="L424" s="8"/>
      <c r="M424" s="9">
        <v>153.4</v>
      </c>
      <c r="N424" s="9">
        <f t="shared" si="37"/>
        <v>1073.8</v>
      </c>
      <c r="O424" s="9"/>
      <c r="P424" s="9"/>
      <c r="Q424" s="10" t="s">
        <v>109</v>
      </c>
    </row>
    <row r="425" spans="1:17" s="11" customFormat="1" ht="39.950000000000003" customHeight="1" x14ac:dyDescent="0.3">
      <c r="A425" s="18" t="s">
        <v>939</v>
      </c>
      <c r="B425" s="23"/>
      <c r="C425" s="8"/>
      <c r="D425" s="25" t="s">
        <v>2318</v>
      </c>
      <c r="E425" s="12" t="s">
        <v>119</v>
      </c>
      <c r="F425" s="18" t="s">
        <v>1779</v>
      </c>
      <c r="G425" s="8">
        <v>10</v>
      </c>
      <c r="H425" s="8"/>
      <c r="I425" s="8">
        <f>2+1+2+3+2</f>
        <v>10</v>
      </c>
      <c r="J425" s="8"/>
      <c r="K425" s="8">
        <f>+G425+H425-I425</f>
        <v>0</v>
      </c>
      <c r="L425" s="8"/>
      <c r="M425" s="9">
        <v>141.6</v>
      </c>
      <c r="N425" s="9">
        <f t="shared" si="37"/>
        <v>0</v>
      </c>
      <c r="O425" s="9"/>
      <c r="P425" s="9"/>
      <c r="Q425" s="10" t="s">
        <v>109</v>
      </c>
    </row>
    <row r="426" spans="1:17" s="11" customFormat="1" ht="39.950000000000003" customHeight="1" x14ac:dyDescent="0.3">
      <c r="A426" s="18" t="s">
        <v>940</v>
      </c>
      <c r="B426" s="23"/>
      <c r="C426" s="8"/>
      <c r="D426" s="25" t="s">
        <v>2385</v>
      </c>
      <c r="E426" s="12" t="s">
        <v>333</v>
      </c>
      <c r="F426" s="18" t="s">
        <v>1779</v>
      </c>
      <c r="G426" s="8">
        <v>78</v>
      </c>
      <c r="H426" s="8"/>
      <c r="I426" s="8"/>
      <c r="J426" s="8"/>
      <c r="K426" s="8">
        <f t="shared" ref="K426:K435" si="38">+G426+H426+-I426</f>
        <v>78</v>
      </c>
      <c r="L426" s="8"/>
      <c r="M426" s="9">
        <v>7.2</v>
      </c>
      <c r="N426" s="9">
        <f t="shared" si="37"/>
        <v>561.6</v>
      </c>
      <c r="O426" s="9"/>
      <c r="P426" s="9"/>
      <c r="Q426" s="10" t="s">
        <v>297</v>
      </c>
    </row>
    <row r="427" spans="1:17" s="11" customFormat="1" ht="39.950000000000003" customHeight="1" x14ac:dyDescent="0.3">
      <c r="A427" s="18" t="s">
        <v>941</v>
      </c>
      <c r="B427" s="23" t="s">
        <v>4</v>
      </c>
      <c r="C427" s="8"/>
      <c r="D427" s="25" t="s">
        <v>2385</v>
      </c>
      <c r="E427" s="12" t="s">
        <v>337</v>
      </c>
      <c r="F427" s="18" t="s">
        <v>1779</v>
      </c>
      <c r="G427" s="8">
        <f>150+90+100</f>
        <v>340</v>
      </c>
      <c r="H427" s="8"/>
      <c r="I427" s="8"/>
      <c r="J427" s="8"/>
      <c r="K427" s="8">
        <f t="shared" si="38"/>
        <v>340</v>
      </c>
      <c r="L427" s="8"/>
      <c r="M427" s="9">
        <v>7.2</v>
      </c>
      <c r="N427" s="9">
        <f t="shared" si="37"/>
        <v>2448</v>
      </c>
      <c r="O427" s="9"/>
      <c r="P427" s="9"/>
      <c r="Q427" s="10" t="s">
        <v>297</v>
      </c>
    </row>
    <row r="428" spans="1:17" s="11" customFormat="1" ht="39.950000000000003" customHeight="1" x14ac:dyDescent="0.3">
      <c r="A428" s="18" t="s">
        <v>942</v>
      </c>
      <c r="B428" s="23" t="s">
        <v>4</v>
      </c>
      <c r="C428" s="8"/>
      <c r="D428" s="25" t="s">
        <v>2385</v>
      </c>
      <c r="E428" s="12" t="s">
        <v>339</v>
      </c>
      <c r="F428" s="18" t="s">
        <v>1779</v>
      </c>
      <c r="G428" s="8">
        <v>92</v>
      </c>
      <c r="H428" s="8"/>
      <c r="I428" s="8"/>
      <c r="J428" s="8"/>
      <c r="K428" s="8">
        <f t="shared" si="38"/>
        <v>92</v>
      </c>
      <c r="L428" s="8"/>
      <c r="M428" s="9">
        <v>7.2</v>
      </c>
      <c r="N428" s="9">
        <f t="shared" si="37"/>
        <v>662.4</v>
      </c>
      <c r="O428" s="9"/>
      <c r="P428" s="9"/>
      <c r="Q428" s="10" t="s">
        <v>297</v>
      </c>
    </row>
    <row r="429" spans="1:17" s="11" customFormat="1" ht="39.950000000000003" customHeight="1" x14ac:dyDescent="0.3">
      <c r="A429" s="18" t="s">
        <v>943</v>
      </c>
      <c r="B429" s="23">
        <v>44193</v>
      </c>
      <c r="C429" s="8"/>
      <c r="D429" s="25" t="s">
        <v>2385</v>
      </c>
      <c r="E429" s="12" t="s">
        <v>340</v>
      </c>
      <c r="F429" s="18" t="s">
        <v>1779</v>
      </c>
      <c r="G429" s="8">
        <v>37</v>
      </c>
      <c r="H429" s="8"/>
      <c r="I429" s="8"/>
      <c r="J429" s="8"/>
      <c r="K429" s="8">
        <f t="shared" si="38"/>
        <v>37</v>
      </c>
      <c r="L429" s="8"/>
      <c r="M429" s="9">
        <v>7.2</v>
      </c>
      <c r="N429" s="9">
        <f t="shared" si="37"/>
        <v>266.40000000000003</v>
      </c>
      <c r="O429" s="9"/>
      <c r="P429" s="9"/>
      <c r="Q429" s="10" t="s">
        <v>297</v>
      </c>
    </row>
    <row r="430" spans="1:17" s="11" customFormat="1" ht="39.950000000000003" customHeight="1" x14ac:dyDescent="0.3">
      <c r="A430" s="18" t="s">
        <v>944</v>
      </c>
      <c r="B430" s="23" t="s">
        <v>4</v>
      </c>
      <c r="C430" s="8"/>
      <c r="D430" s="25" t="s">
        <v>2385</v>
      </c>
      <c r="E430" s="12" t="s">
        <v>332</v>
      </c>
      <c r="F430" s="18" t="s">
        <v>1779</v>
      </c>
      <c r="G430" s="8">
        <v>94</v>
      </c>
      <c r="H430" s="8"/>
      <c r="I430" s="8"/>
      <c r="J430" s="8"/>
      <c r="K430" s="8">
        <f t="shared" si="38"/>
        <v>94</v>
      </c>
      <c r="L430" s="8"/>
      <c r="M430" s="9">
        <v>7.2</v>
      </c>
      <c r="N430" s="9">
        <f t="shared" si="37"/>
        <v>676.80000000000007</v>
      </c>
      <c r="O430" s="9"/>
      <c r="P430" s="9"/>
      <c r="Q430" s="10" t="s">
        <v>297</v>
      </c>
    </row>
    <row r="431" spans="1:17" s="11" customFormat="1" ht="39.950000000000003" customHeight="1" x14ac:dyDescent="0.3">
      <c r="A431" s="18" t="s">
        <v>945</v>
      </c>
      <c r="B431" s="23">
        <v>45414</v>
      </c>
      <c r="C431" s="8"/>
      <c r="D431" s="25" t="s">
        <v>2385</v>
      </c>
      <c r="E431" s="12" t="s">
        <v>331</v>
      </c>
      <c r="F431" s="18" t="s">
        <v>1779</v>
      </c>
      <c r="G431" s="8">
        <v>42</v>
      </c>
      <c r="H431" s="8"/>
      <c r="I431" s="8"/>
      <c r="J431" s="8"/>
      <c r="K431" s="8">
        <f t="shared" si="38"/>
        <v>42</v>
      </c>
      <c r="L431" s="8"/>
      <c r="M431" s="9">
        <v>7.2</v>
      </c>
      <c r="N431" s="9">
        <f t="shared" si="37"/>
        <v>302.40000000000003</v>
      </c>
      <c r="O431" s="9"/>
      <c r="P431" s="9"/>
      <c r="Q431" s="10" t="s">
        <v>297</v>
      </c>
    </row>
    <row r="432" spans="1:17" s="11" customFormat="1" ht="39.950000000000003" customHeight="1" x14ac:dyDescent="0.3">
      <c r="A432" s="18" t="s">
        <v>946</v>
      </c>
      <c r="B432" s="23" t="s">
        <v>4</v>
      </c>
      <c r="C432" s="8"/>
      <c r="D432" s="25" t="s">
        <v>2385</v>
      </c>
      <c r="E432" s="12" t="s">
        <v>338</v>
      </c>
      <c r="F432" s="18" t="s">
        <v>1779</v>
      </c>
      <c r="G432" s="8">
        <v>36</v>
      </c>
      <c r="H432" s="8"/>
      <c r="I432" s="8"/>
      <c r="J432" s="8"/>
      <c r="K432" s="8">
        <f t="shared" si="38"/>
        <v>36</v>
      </c>
      <c r="L432" s="8"/>
      <c r="M432" s="9">
        <v>7.2</v>
      </c>
      <c r="N432" s="9">
        <f t="shared" si="37"/>
        <v>259.2</v>
      </c>
      <c r="O432" s="9"/>
      <c r="P432" s="9"/>
      <c r="Q432" s="10" t="s">
        <v>297</v>
      </c>
    </row>
    <row r="433" spans="1:17" s="11" customFormat="1" ht="20.25" customHeight="1" x14ac:dyDescent="0.3">
      <c r="A433" s="18" t="s">
        <v>947</v>
      </c>
      <c r="B433" s="23" t="s">
        <v>79</v>
      </c>
      <c r="C433" s="8"/>
      <c r="D433" s="25" t="s">
        <v>2385</v>
      </c>
      <c r="E433" s="12" t="s">
        <v>334</v>
      </c>
      <c r="F433" s="18" t="s">
        <v>1779</v>
      </c>
      <c r="G433" s="8">
        <v>39</v>
      </c>
      <c r="H433" s="8"/>
      <c r="I433" s="8"/>
      <c r="J433" s="8"/>
      <c r="K433" s="8">
        <f t="shared" si="38"/>
        <v>39</v>
      </c>
      <c r="L433" s="8"/>
      <c r="M433" s="9">
        <v>7.2</v>
      </c>
      <c r="N433" s="9">
        <f t="shared" si="37"/>
        <v>280.8</v>
      </c>
      <c r="O433" s="9"/>
      <c r="P433" s="9"/>
      <c r="Q433" s="10" t="s">
        <v>297</v>
      </c>
    </row>
    <row r="434" spans="1:17" s="11" customFormat="1" ht="39.950000000000003" customHeight="1" x14ac:dyDescent="0.3">
      <c r="A434" s="18" t="s">
        <v>948</v>
      </c>
      <c r="B434" s="23">
        <v>45932</v>
      </c>
      <c r="C434" s="8"/>
      <c r="D434" s="25" t="s">
        <v>2385</v>
      </c>
      <c r="E434" s="12" t="s">
        <v>335</v>
      </c>
      <c r="F434" s="18" t="s">
        <v>1779</v>
      </c>
      <c r="G434" s="8">
        <v>30</v>
      </c>
      <c r="H434" s="8"/>
      <c r="I434" s="8"/>
      <c r="J434" s="8"/>
      <c r="K434" s="8">
        <f t="shared" si="38"/>
        <v>30</v>
      </c>
      <c r="L434" s="8"/>
      <c r="M434" s="9">
        <v>7.2</v>
      </c>
      <c r="N434" s="9">
        <f t="shared" si="37"/>
        <v>216</v>
      </c>
      <c r="O434" s="9"/>
      <c r="P434" s="9"/>
      <c r="Q434" s="10" t="s">
        <v>297</v>
      </c>
    </row>
    <row r="435" spans="1:17" s="11" customFormat="1" ht="39.950000000000003" customHeight="1" x14ac:dyDescent="0.3">
      <c r="A435" s="18" t="s">
        <v>949</v>
      </c>
      <c r="B435" s="23">
        <v>45932</v>
      </c>
      <c r="C435" s="8"/>
      <c r="D435" s="25" t="s">
        <v>2385</v>
      </c>
      <c r="E435" s="12" t="s">
        <v>336</v>
      </c>
      <c r="F435" s="18" t="s">
        <v>1779</v>
      </c>
      <c r="G435" s="8">
        <v>11</v>
      </c>
      <c r="H435" s="8"/>
      <c r="I435" s="8"/>
      <c r="J435" s="8"/>
      <c r="K435" s="8">
        <f t="shared" si="38"/>
        <v>11</v>
      </c>
      <c r="L435" s="8"/>
      <c r="M435" s="9">
        <v>7.2</v>
      </c>
      <c r="N435" s="9">
        <f t="shared" si="37"/>
        <v>79.2</v>
      </c>
      <c r="O435" s="9"/>
      <c r="P435" s="9"/>
      <c r="Q435" s="10" t="s">
        <v>297</v>
      </c>
    </row>
    <row r="436" spans="1:17" s="11" customFormat="1" ht="39.950000000000003" customHeight="1" x14ac:dyDescent="0.3">
      <c r="A436" s="18" t="s">
        <v>950</v>
      </c>
      <c r="B436" s="23">
        <v>45418</v>
      </c>
      <c r="C436" s="8"/>
      <c r="D436" s="25" t="s">
        <v>2438</v>
      </c>
      <c r="E436" s="12" t="s">
        <v>1620</v>
      </c>
      <c r="F436" s="18" t="s">
        <v>1779</v>
      </c>
      <c r="G436" s="8"/>
      <c r="H436" s="8">
        <v>20</v>
      </c>
      <c r="I436" s="8">
        <f>3+1+1</f>
        <v>5</v>
      </c>
      <c r="J436" s="8"/>
      <c r="K436" s="8">
        <f>+G436+H436-I436+J436</f>
        <v>15</v>
      </c>
      <c r="L436" s="8">
        <v>15</v>
      </c>
      <c r="M436" s="9">
        <v>44.84</v>
      </c>
      <c r="N436" s="9">
        <f t="shared" si="37"/>
        <v>672.6</v>
      </c>
      <c r="O436" s="9"/>
      <c r="P436" s="9"/>
      <c r="Q436" s="10" t="s">
        <v>235</v>
      </c>
    </row>
    <row r="437" spans="1:17" s="11" customFormat="1" ht="39.950000000000003" customHeight="1" x14ac:dyDescent="0.3">
      <c r="A437" s="18" t="s">
        <v>951</v>
      </c>
      <c r="B437" s="23">
        <v>45418</v>
      </c>
      <c r="C437" s="8"/>
      <c r="D437" s="25" t="s">
        <v>2319</v>
      </c>
      <c r="E437" s="12" t="s">
        <v>53</v>
      </c>
      <c r="F437" s="18" t="s">
        <v>1779</v>
      </c>
      <c r="G437" s="8">
        <v>1</v>
      </c>
      <c r="H437" s="8"/>
      <c r="I437" s="8"/>
      <c r="J437" s="8"/>
      <c r="K437" s="8">
        <f>+G437+H437-I437</f>
        <v>1</v>
      </c>
      <c r="L437" s="8"/>
      <c r="M437" s="9">
        <v>405</v>
      </c>
      <c r="N437" s="9">
        <f t="shared" si="37"/>
        <v>405</v>
      </c>
      <c r="O437" s="9"/>
      <c r="P437" s="9"/>
      <c r="Q437" s="10" t="s">
        <v>25</v>
      </c>
    </row>
    <row r="438" spans="1:17" s="11" customFormat="1" ht="39.950000000000003" customHeight="1" x14ac:dyDescent="0.3">
      <c r="A438" s="18" t="s">
        <v>952</v>
      </c>
      <c r="B438" s="23" t="s">
        <v>1971</v>
      </c>
      <c r="C438" s="8">
        <v>10</v>
      </c>
      <c r="D438" s="25" t="s">
        <v>2325</v>
      </c>
      <c r="E438" s="12" t="s">
        <v>2006</v>
      </c>
      <c r="F438" s="18" t="s">
        <v>1779</v>
      </c>
      <c r="G438" s="8"/>
      <c r="H438" s="8">
        <v>80</v>
      </c>
      <c r="I438" s="8"/>
      <c r="J438" s="8"/>
      <c r="K438" s="8">
        <f>+G438+H438-I438+J438</f>
        <v>80</v>
      </c>
      <c r="L438" s="8">
        <v>80</v>
      </c>
      <c r="M438" s="9">
        <v>113</v>
      </c>
      <c r="N438" s="9">
        <f t="shared" si="37"/>
        <v>9040</v>
      </c>
      <c r="O438" s="9"/>
      <c r="P438" s="9"/>
      <c r="Q438" s="10" t="s">
        <v>1191</v>
      </c>
    </row>
    <row r="439" spans="1:17" s="11" customFormat="1" ht="39.950000000000003" customHeight="1" x14ac:dyDescent="0.3">
      <c r="A439" s="18" t="s">
        <v>953</v>
      </c>
      <c r="B439" s="23" t="s">
        <v>1971</v>
      </c>
      <c r="C439" s="8"/>
      <c r="D439" s="25" t="s">
        <v>2321</v>
      </c>
      <c r="E439" s="12" t="s">
        <v>2003</v>
      </c>
      <c r="F439" s="18" t="s">
        <v>1779</v>
      </c>
      <c r="G439" s="8"/>
      <c r="H439" s="8">
        <v>51</v>
      </c>
      <c r="I439" s="8">
        <v>51</v>
      </c>
      <c r="J439" s="8"/>
      <c r="K439" s="8">
        <f>+G439+H439-I439+J439</f>
        <v>0</v>
      </c>
      <c r="L439" s="8"/>
      <c r="M439" s="9">
        <v>1888</v>
      </c>
      <c r="N439" s="9">
        <f t="shared" si="37"/>
        <v>0</v>
      </c>
      <c r="O439" s="9"/>
      <c r="P439" s="9"/>
      <c r="Q439" s="10"/>
    </row>
    <row r="440" spans="1:17" s="11" customFormat="1" ht="39.950000000000003" customHeight="1" x14ac:dyDescent="0.3">
      <c r="A440" s="18" t="s">
        <v>954</v>
      </c>
      <c r="B440" s="23">
        <v>45904</v>
      </c>
      <c r="C440" s="8"/>
      <c r="D440" s="25"/>
      <c r="E440" s="12" t="s">
        <v>1745</v>
      </c>
      <c r="F440" s="18" t="s">
        <v>1779</v>
      </c>
      <c r="G440" s="8"/>
      <c r="H440" s="8">
        <v>200</v>
      </c>
      <c r="I440" s="8"/>
      <c r="J440" s="8"/>
      <c r="K440" s="8">
        <f>+G440+H440+-I440</f>
        <v>200</v>
      </c>
      <c r="L440" s="8"/>
      <c r="M440" s="9"/>
      <c r="N440" s="9">
        <f t="shared" si="37"/>
        <v>0</v>
      </c>
      <c r="O440" s="9"/>
      <c r="P440" s="9"/>
      <c r="Q440" s="10" t="s">
        <v>1321</v>
      </c>
    </row>
    <row r="441" spans="1:17" s="11" customFormat="1" ht="20.25" x14ac:dyDescent="0.3">
      <c r="A441" s="18" t="s">
        <v>955</v>
      </c>
      <c r="B441" s="23"/>
      <c r="C441" s="8"/>
      <c r="D441" s="25" t="s">
        <v>2385</v>
      </c>
      <c r="E441" s="12" t="s">
        <v>356</v>
      </c>
      <c r="F441" s="18" t="s">
        <v>1779</v>
      </c>
      <c r="G441" s="8">
        <v>1</v>
      </c>
      <c r="H441" s="8"/>
      <c r="I441" s="8"/>
      <c r="J441" s="8"/>
      <c r="K441" s="8">
        <f>+G441+H441+-I441</f>
        <v>1</v>
      </c>
      <c r="L441" s="8"/>
      <c r="M441" s="9"/>
      <c r="N441" s="9">
        <f t="shared" si="37"/>
        <v>0</v>
      </c>
      <c r="O441" s="9"/>
      <c r="P441" s="9"/>
      <c r="Q441" s="10" t="s">
        <v>297</v>
      </c>
    </row>
    <row r="442" spans="1:17" s="11" customFormat="1" ht="39.950000000000003" customHeight="1" x14ac:dyDescent="0.3">
      <c r="A442" s="18" t="s">
        <v>956</v>
      </c>
      <c r="B442" s="23">
        <v>45418</v>
      </c>
      <c r="C442" s="8"/>
      <c r="D442" s="12" t="s">
        <v>2394</v>
      </c>
      <c r="E442" s="12" t="s">
        <v>70</v>
      </c>
      <c r="F442" s="18" t="s">
        <v>1779</v>
      </c>
      <c r="G442" s="8">
        <v>1</v>
      </c>
      <c r="H442" s="8"/>
      <c r="I442" s="8"/>
      <c r="J442" s="8"/>
      <c r="K442" s="8">
        <f>+G442+H442-I442</f>
        <v>1</v>
      </c>
      <c r="L442" s="8"/>
      <c r="M442" s="9">
        <v>1420</v>
      </c>
      <c r="N442" s="9">
        <f t="shared" si="37"/>
        <v>1420</v>
      </c>
      <c r="O442" s="9"/>
      <c r="P442" s="9"/>
      <c r="Q442" s="10" t="s">
        <v>25</v>
      </c>
    </row>
    <row r="443" spans="1:17" s="11" customFormat="1" ht="39.950000000000003" customHeight="1" x14ac:dyDescent="0.3">
      <c r="A443" s="18" t="s">
        <v>957</v>
      </c>
      <c r="B443" s="23" t="s">
        <v>257</v>
      </c>
      <c r="C443" s="8"/>
      <c r="D443" s="12" t="s">
        <v>2394</v>
      </c>
      <c r="E443" s="12" t="s">
        <v>71</v>
      </c>
      <c r="F443" s="18" t="s">
        <v>1779</v>
      </c>
      <c r="G443" s="8">
        <v>9</v>
      </c>
      <c r="H443" s="8"/>
      <c r="I443" s="8"/>
      <c r="J443" s="8"/>
      <c r="K443" s="8">
        <f>+G443+H443-I443</f>
        <v>9</v>
      </c>
      <c r="L443" s="8"/>
      <c r="M443" s="9">
        <v>155</v>
      </c>
      <c r="N443" s="9">
        <f t="shared" si="37"/>
        <v>1395</v>
      </c>
      <c r="O443" s="9"/>
      <c r="P443" s="9"/>
      <c r="Q443" s="10" t="s">
        <v>25</v>
      </c>
    </row>
    <row r="444" spans="1:17" s="11" customFormat="1" ht="39.950000000000003" customHeight="1" x14ac:dyDescent="0.3">
      <c r="A444" s="18" t="s">
        <v>958</v>
      </c>
      <c r="B444" s="23">
        <v>45722</v>
      </c>
      <c r="C444" s="8">
        <v>30</v>
      </c>
      <c r="D444" s="25" t="s">
        <v>2320</v>
      </c>
      <c r="E444" s="12" t="s">
        <v>2292</v>
      </c>
      <c r="F444" s="18" t="s">
        <v>1779</v>
      </c>
      <c r="G444" s="8">
        <v>0</v>
      </c>
      <c r="H444" s="8">
        <v>12</v>
      </c>
      <c r="I444" s="8">
        <v>1</v>
      </c>
      <c r="J444" s="8"/>
      <c r="K444" s="8">
        <f>+G444+H444-I444</f>
        <v>11</v>
      </c>
      <c r="L444" s="8"/>
      <c r="M444" s="9">
        <v>717.31</v>
      </c>
      <c r="N444" s="9">
        <f t="shared" si="37"/>
        <v>7890.41</v>
      </c>
      <c r="O444" s="9"/>
      <c r="P444" s="9"/>
      <c r="Q444" s="10" t="s">
        <v>140</v>
      </c>
    </row>
    <row r="445" spans="1:17" s="11" customFormat="1" ht="39.950000000000003" customHeight="1" x14ac:dyDescent="0.3">
      <c r="A445" s="18" t="s">
        <v>959</v>
      </c>
      <c r="B445" s="23">
        <v>45722</v>
      </c>
      <c r="C445" s="8">
        <v>30</v>
      </c>
      <c r="D445" s="25" t="s">
        <v>2320</v>
      </c>
      <c r="E445" s="12" t="s">
        <v>2293</v>
      </c>
      <c r="F445" s="18" t="s">
        <v>1779</v>
      </c>
      <c r="G445" s="8">
        <v>0</v>
      </c>
      <c r="H445" s="8">
        <v>12</v>
      </c>
      <c r="I445" s="8">
        <v>1</v>
      </c>
      <c r="J445" s="8"/>
      <c r="K445" s="8">
        <f>+G445+H445-I445</f>
        <v>11</v>
      </c>
      <c r="L445" s="8"/>
      <c r="M445" s="9">
        <v>717.31</v>
      </c>
      <c r="N445" s="9">
        <f t="shared" si="37"/>
        <v>7890.41</v>
      </c>
      <c r="O445" s="9"/>
      <c r="P445" s="9"/>
      <c r="Q445" s="10" t="s">
        <v>140</v>
      </c>
    </row>
    <row r="446" spans="1:17" s="11" customFormat="1" ht="39.950000000000003" customHeight="1" x14ac:dyDescent="0.3">
      <c r="A446" s="18" t="s">
        <v>960</v>
      </c>
      <c r="B446" s="23">
        <v>45722</v>
      </c>
      <c r="C446" s="8">
        <v>30</v>
      </c>
      <c r="D446" s="25" t="s">
        <v>2320</v>
      </c>
      <c r="E446" s="12" t="s">
        <v>2294</v>
      </c>
      <c r="F446" s="18" t="s">
        <v>1779</v>
      </c>
      <c r="G446" s="8">
        <v>2</v>
      </c>
      <c r="H446" s="8">
        <v>6</v>
      </c>
      <c r="I446" s="8">
        <v>1</v>
      </c>
      <c r="J446" s="8"/>
      <c r="K446" s="8">
        <f>+G446+H446-I446</f>
        <v>7</v>
      </c>
      <c r="L446" s="8"/>
      <c r="M446" s="9">
        <v>717.31</v>
      </c>
      <c r="N446" s="9">
        <f t="shared" si="37"/>
        <v>5021.17</v>
      </c>
      <c r="O446" s="9"/>
      <c r="P446" s="9"/>
      <c r="Q446" s="10" t="s">
        <v>140</v>
      </c>
    </row>
    <row r="447" spans="1:17" s="11" customFormat="1" ht="39.950000000000003" customHeight="1" x14ac:dyDescent="0.3">
      <c r="A447" s="18" t="s">
        <v>961</v>
      </c>
      <c r="B447" s="23">
        <v>45996</v>
      </c>
      <c r="C447" s="8"/>
      <c r="D447" s="25" t="s">
        <v>2388</v>
      </c>
      <c r="E447" s="12" t="s">
        <v>1380</v>
      </c>
      <c r="F447" s="18" t="s">
        <v>1779</v>
      </c>
      <c r="G447" s="8">
        <v>0</v>
      </c>
      <c r="H447" s="8">
        <v>1</v>
      </c>
      <c r="I447" s="8">
        <v>1</v>
      </c>
      <c r="J447" s="8"/>
      <c r="K447" s="8">
        <f>+G447+H447-I447+J447</f>
        <v>0</v>
      </c>
      <c r="L447" s="8"/>
      <c r="M447" s="9">
        <v>560.51</v>
      </c>
      <c r="N447" s="9">
        <f t="shared" si="37"/>
        <v>0</v>
      </c>
      <c r="O447" s="9"/>
      <c r="P447" s="9"/>
      <c r="Q447" s="10" t="s">
        <v>1541</v>
      </c>
    </row>
    <row r="448" spans="1:17" s="11" customFormat="1" ht="39.950000000000003" customHeight="1" x14ac:dyDescent="0.3">
      <c r="A448" s="18" t="s">
        <v>962</v>
      </c>
      <c r="B448" s="23">
        <v>45932</v>
      </c>
      <c r="C448" s="8"/>
      <c r="D448" s="25"/>
      <c r="E448" s="12" t="s">
        <v>177</v>
      </c>
      <c r="F448" s="18" t="s">
        <v>1779</v>
      </c>
      <c r="G448" s="8">
        <v>5</v>
      </c>
      <c r="H448" s="8"/>
      <c r="I448" s="8"/>
      <c r="J448" s="8"/>
      <c r="K448" s="8">
        <f>+G448+H448+-I448</f>
        <v>5</v>
      </c>
      <c r="L448" s="8"/>
      <c r="M448" s="9">
        <v>958</v>
      </c>
      <c r="N448" s="9">
        <f t="shared" si="37"/>
        <v>4790</v>
      </c>
      <c r="O448" s="9"/>
      <c r="P448" s="9"/>
      <c r="Q448" s="10" t="s">
        <v>159</v>
      </c>
    </row>
    <row r="449" spans="1:17" s="11" customFormat="1" ht="39.950000000000003" customHeight="1" x14ac:dyDescent="0.3">
      <c r="A449" s="18" t="s">
        <v>963</v>
      </c>
      <c r="B449" s="23" t="s">
        <v>253</v>
      </c>
      <c r="C449" s="8"/>
      <c r="D449" s="25" t="s">
        <v>2385</v>
      </c>
      <c r="E449" s="12" t="s">
        <v>341</v>
      </c>
      <c r="F449" s="18" t="s">
        <v>1779</v>
      </c>
      <c r="G449" s="8">
        <v>10</v>
      </c>
      <c r="H449" s="8"/>
      <c r="I449" s="8">
        <f>3+1+2+3+1</f>
        <v>10</v>
      </c>
      <c r="J449" s="8"/>
      <c r="K449" s="8">
        <f>+G449+H449+-I449</f>
        <v>0</v>
      </c>
      <c r="L449" s="8"/>
      <c r="M449" s="9">
        <v>117</v>
      </c>
      <c r="N449" s="9">
        <f t="shared" si="37"/>
        <v>0</v>
      </c>
      <c r="O449" s="9"/>
      <c r="P449" s="9"/>
      <c r="Q449" s="10" t="s">
        <v>297</v>
      </c>
    </row>
    <row r="450" spans="1:17" s="11" customFormat="1" ht="39.950000000000003" customHeight="1" x14ac:dyDescent="0.3">
      <c r="A450" s="18" t="s">
        <v>964</v>
      </c>
      <c r="B450" s="23">
        <v>45803</v>
      </c>
      <c r="C450" s="8">
        <v>10</v>
      </c>
      <c r="D450" s="25" t="s">
        <v>2322</v>
      </c>
      <c r="E450" s="12" t="s">
        <v>2177</v>
      </c>
      <c r="F450" s="18" t="s">
        <v>1780</v>
      </c>
      <c r="G450" s="8"/>
      <c r="H450" s="8">
        <v>10</v>
      </c>
      <c r="I450" s="8"/>
      <c r="J450" s="8"/>
      <c r="K450" s="8">
        <f>+G450+H450-I450+J450</f>
        <v>10</v>
      </c>
      <c r="L450" s="8">
        <v>10</v>
      </c>
      <c r="M450" s="9">
        <v>1283</v>
      </c>
      <c r="N450" s="9">
        <f t="shared" si="37"/>
        <v>12830</v>
      </c>
      <c r="O450" s="9"/>
      <c r="P450" s="9"/>
      <c r="Q450" s="10" t="s">
        <v>1191</v>
      </c>
    </row>
    <row r="451" spans="1:17" s="11" customFormat="1" ht="39.950000000000003" customHeight="1" x14ac:dyDescent="0.3">
      <c r="A451" s="18" t="s">
        <v>965</v>
      </c>
      <c r="B451" s="23" t="s">
        <v>1536</v>
      </c>
      <c r="C451" s="8"/>
      <c r="D451" s="25" t="s">
        <v>2325</v>
      </c>
      <c r="E451" s="12" t="s">
        <v>1499</v>
      </c>
      <c r="F451" s="18" t="s">
        <v>1779</v>
      </c>
      <c r="G451" s="8"/>
      <c r="H451" s="8">
        <v>10</v>
      </c>
      <c r="I451" s="8"/>
      <c r="J451" s="8"/>
      <c r="K451" s="8">
        <f>+G451+H451-I451+J451</f>
        <v>10</v>
      </c>
      <c r="L451" s="8"/>
      <c r="M451" s="9">
        <v>124.997</v>
      </c>
      <c r="N451" s="9">
        <f t="shared" si="37"/>
        <v>1249.97</v>
      </c>
      <c r="O451" s="9"/>
      <c r="P451" s="9"/>
      <c r="Q451" s="10" t="s">
        <v>1479</v>
      </c>
    </row>
    <row r="452" spans="1:17" s="11" customFormat="1" ht="39.950000000000003" customHeight="1" x14ac:dyDescent="0.3">
      <c r="A452" s="18" t="s">
        <v>966</v>
      </c>
      <c r="B452" s="23"/>
      <c r="C452" s="8"/>
      <c r="D452" s="25" t="s">
        <v>2385</v>
      </c>
      <c r="E452" s="12" t="s">
        <v>342</v>
      </c>
      <c r="F452" s="18" t="s">
        <v>1779</v>
      </c>
      <c r="G452" s="8">
        <v>110</v>
      </c>
      <c r="H452" s="8"/>
      <c r="I452" s="8"/>
      <c r="J452" s="8"/>
      <c r="K452" s="8">
        <f t="shared" ref="K452:K457" si="39">+G452+H452+-I452</f>
        <v>110</v>
      </c>
      <c r="L452" s="8"/>
      <c r="M452" s="9">
        <v>14.99</v>
      </c>
      <c r="N452" s="9">
        <f t="shared" si="37"/>
        <v>1648.9</v>
      </c>
      <c r="O452" s="9"/>
      <c r="P452" s="9"/>
      <c r="Q452" s="10" t="s">
        <v>297</v>
      </c>
    </row>
    <row r="453" spans="1:17" s="11" customFormat="1" ht="39.950000000000003" customHeight="1" x14ac:dyDescent="0.3">
      <c r="A453" s="18" t="s">
        <v>967</v>
      </c>
      <c r="B453" s="23" t="s">
        <v>4</v>
      </c>
      <c r="C453" s="8"/>
      <c r="D453" s="25" t="s">
        <v>2409</v>
      </c>
      <c r="E453" s="12" t="s">
        <v>210</v>
      </c>
      <c r="F453" s="18" t="s">
        <v>1779</v>
      </c>
      <c r="G453" s="8">
        <v>11</v>
      </c>
      <c r="H453" s="8"/>
      <c r="I453" s="8">
        <v>1</v>
      </c>
      <c r="J453" s="8"/>
      <c r="K453" s="8">
        <f t="shared" si="39"/>
        <v>10</v>
      </c>
      <c r="L453" s="8"/>
      <c r="M453" s="9"/>
      <c r="N453" s="9">
        <f t="shared" si="37"/>
        <v>0</v>
      </c>
      <c r="O453" s="9"/>
      <c r="P453" s="9"/>
      <c r="Q453" s="10" t="s">
        <v>209</v>
      </c>
    </row>
    <row r="454" spans="1:17" s="11" customFormat="1" ht="39.950000000000003" customHeight="1" x14ac:dyDescent="0.3">
      <c r="A454" s="18" t="s">
        <v>968</v>
      </c>
      <c r="B454" s="23">
        <v>45639</v>
      </c>
      <c r="C454" s="8">
        <v>10</v>
      </c>
      <c r="D454" s="25" t="s">
        <v>2409</v>
      </c>
      <c r="E454" s="12" t="s">
        <v>221</v>
      </c>
      <c r="F454" s="18" t="s">
        <v>1779</v>
      </c>
      <c r="G454" s="8">
        <v>7</v>
      </c>
      <c r="H454" s="8"/>
      <c r="I454" s="8"/>
      <c r="J454" s="8"/>
      <c r="K454" s="8">
        <f t="shared" si="39"/>
        <v>7</v>
      </c>
      <c r="L454" s="8"/>
      <c r="M454" s="9">
        <v>1375</v>
      </c>
      <c r="N454" s="9">
        <f t="shared" ref="N454:N457" si="40">+K454*M454</f>
        <v>9625</v>
      </c>
      <c r="O454" s="9"/>
      <c r="P454" s="9"/>
      <c r="Q454" s="10" t="s">
        <v>209</v>
      </c>
    </row>
    <row r="455" spans="1:17" s="11" customFormat="1" ht="39.950000000000003" customHeight="1" x14ac:dyDescent="0.3">
      <c r="A455" s="18" t="s">
        <v>969</v>
      </c>
      <c r="B455" s="23" t="s">
        <v>241</v>
      </c>
      <c r="C455" s="8"/>
      <c r="D455" s="25" t="s">
        <v>2409</v>
      </c>
      <c r="E455" s="12" t="s">
        <v>224</v>
      </c>
      <c r="F455" s="18" t="s">
        <v>1779</v>
      </c>
      <c r="G455" s="8">
        <v>3</v>
      </c>
      <c r="H455" s="8"/>
      <c r="I455" s="8">
        <v>1</v>
      </c>
      <c r="J455" s="8"/>
      <c r="K455" s="8">
        <f t="shared" si="39"/>
        <v>2</v>
      </c>
      <c r="L455" s="8"/>
      <c r="M455" s="9">
        <v>3380.7</v>
      </c>
      <c r="N455" s="9">
        <f t="shared" si="40"/>
        <v>6761.4</v>
      </c>
      <c r="O455" s="9"/>
      <c r="P455" s="9"/>
      <c r="Q455" s="10" t="s">
        <v>209</v>
      </c>
    </row>
    <row r="456" spans="1:17" s="11" customFormat="1" ht="39.950000000000003" customHeight="1" x14ac:dyDescent="0.3">
      <c r="A456" s="18" t="s">
        <v>970</v>
      </c>
      <c r="B456" s="23">
        <v>45020</v>
      </c>
      <c r="C456" s="8"/>
      <c r="D456" s="25" t="s">
        <v>2409</v>
      </c>
      <c r="E456" s="12" t="s">
        <v>223</v>
      </c>
      <c r="F456" s="18" t="s">
        <v>1779</v>
      </c>
      <c r="G456" s="8">
        <v>4</v>
      </c>
      <c r="H456" s="8"/>
      <c r="I456" s="8"/>
      <c r="J456" s="8"/>
      <c r="K456" s="8">
        <f t="shared" si="39"/>
        <v>4</v>
      </c>
      <c r="L456" s="8"/>
      <c r="M456" s="9">
        <v>1002</v>
      </c>
      <c r="N456" s="9">
        <f t="shared" si="40"/>
        <v>4008</v>
      </c>
      <c r="O456" s="9"/>
      <c r="P456" s="9"/>
      <c r="Q456" s="10" t="s">
        <v>209</v>
      </c>
    </row>
    <row r="457" spans="1:17" s="11" customFormat="1" ht="39.950000000000003" customHeight="1" x14ac:dyDescent="0.3">
      <c r="A457" s="18" t="s">
        <v>971</v>
      </c>
      <c r="B457" s="23" t="s">
        <v>1521</v>
      </c>
      <c r="C457" s="8"/>
      <c r="D457" s="25" t="s">
        <v>2409</v>
      </c>
      <c r="E457" s="12" t="s">
        <v>222</v>
      </c>
      <c r="F457" s="18" t="s">
        <v>1779</v>
      </c>
      <c r="G457" s="8">
        <v>7</v>
      </c>
      <c r="H457" s="8"/>
      <c r="I457" s="8"/>
      <c r="J457" s="8"/>
      <c r="K457" s="8">
        <f t="shared" si="39"/>
        <v>7</v>
      </c>
      <c r="L457" s="8"/>
      <c r="M457" s="9">
        <v>436.6</v>
      </c>
      <c r="N457" s="9">
        <f t="shared" si="40"/>
        <v>3056.2000000000003</v>
      </c>
      <c r="O457" s="9"/>
      <c r="P457" s="9"/>
      <c r="Q457" s="10" t="s">
        <v>209</v>
      </c>
    </row>
    <row r="458" spans="1:17" s="11" customFormat="1" ht="39.950000000000003" customHeight="1" x14ac:dyDescent="0.3">
      <c r="A458" s="18" t="s">
        <v>972</v>
      </c>
      <c r="B458" s="19">
        <v>45813</v>
      </c>
      <c r="C458" s="20"/>
      <c r="D458" s="53" t="s">
        <v>2409</v>
      </c>
      <c r="E458" s="12" t="s">
        <v>2238</v>
      </c>
      <c r="F458" s="21" t="s">
        <v>1779</v>
      </c>
      <c r="G458" s="8"/>
      <c r="H458" s="8">
        <v>10</v>
      </c>
      <c r="I458" s="8"/>
      <c r="J458" s="8"/>
      <c r="K458" s="8">
        <f>+G458+H458-I458+J458</f>
        <v>10</v>
      </c>
      <c r="L458" s="8"/>
      <c r="M458" s="9">
        <v>750</v>
      </c>
      <c r="N458" s="9"/>
      <c r="O458" s="9"/>
      <c r="P458" s="9"/>
      <c r="Q458" s="10" t="s">
        <v>1321</v>
      </c>
    </row>
    <row r="459" spans="1:17" s="11" customFormat="1" ht="39.950000000000003" customHeight="1" x14ac:dyDescent="0.3">
      <c r="A459" s="18" t="s">
        <v>973</v>
      </c>
      <c r="B459" s="23">
        <v>45695</v>
      </c>
      <c r="C459" s="8">
        <v>10</v>
      </c>
      <c r="D459" s="25" t="s">
        <v>2409</v>
      </c>
      <c r="E459" s="12" t="s">
        <v>1618</v>
      </c>
      <c r="F459" s="18" t="s">
        <v>1779</v>
      </c>
      <c r="G459" s="8"/>
      <c r="H459" s="8">
        <v>10</v>
      </c>
      <c r="I459" s="8"/>
      <c r="J459" s="8"/>
      <c r="K459" s="8">
        <f>+G459+H459-I459</f>
        <v>10</v>
      </c>
      <c r="L459" s="8"/>
      <c r="M459" s="9">
        <v>3273.0839999999998</v>
      </c>
      <c r="N459" s="9">
        <f t="shared" ref="N459:N464" si="41">+K459*M459</f>
        <v>32730.839999999997</v>
      </c>
      <c r="O459" s="9"/>
      <c r="P459" s="54"/>
      <c r="Q459" s="55" t="s">
        <v>209</v>
      </c>
    </row>
    <row r="460" spans="1:17" s="11" customFormat="1" ht="39.950000000000003" customHeight="1" x14ac:dyDescent="0.3">
      <c r="A460" s="18" t="s">
        <v>974</v>
      </c>
      <c r="B460" s="23">
        <v>45414</v>
      </c>
      <c r="C460" s="8">
        <v>10</v>
      </c>
      <c r="D460" s="25" t="s">
        <v>2409</v>
      </c>
      <c r="E460" s="12" t="s">
        <v>211</v>
      </c>
      <c r="F460" s="18" t="s">
        <v>1779</v>
      </c>
      <c r="G460" s="8">
        <v>9</v>
      </c>
      <c r="H460" s="8"/>
      <c r="I460" s="8">
        <v>1</v>
      </c>
      <c r="J460" s="8"/>
      <c r="K460" s="8">
        <f>+G460+H460+-I460</f>
        <v>8</v>
      </c>
      <c r="L460" s="8"/>
      <c r="M460" s="9">
        <v>2600</v>
      </c>
      <c r="N460" s="9">
        <f t="shared" si="41"/>
        <v>20800</v>
      </c>
      <c r="O460" s="9"/>
      <c r="P460" s="9"/>
      <c r="Q460" s="10" t="s">
        <v>209</v>
      </c>
    </row>
    <row r="461" spans="1:17" s="11" customFormat="1" ht="39.950000000000003" customHeight="1" x14ac:dyDescent="0.3">
      <c r="A461" s="18" t="s">
        <v>975</v>
      </c>
      <c r="B461" s="23" t="s">
        <v>1563</v>
      </c>
      <c r="C461" s="8"/>
      <c r="D461" s="25" t="s">
        <v>2409</v>
      </c>
      <c r="E461" s="12" t="s">
        <v>212</v>
      </c>
      <c r="F461" s="18" t="s">
        <v>1779</v>
      </c>
      <c r="G461" s="8">
        <v>8</v>
      </c>
      <c r="H461" s="8"/>
      <c r="I461" s="8"/>
      <c r="J461" s="8"/>
      <c r="K461" s="8">
        <f>+G461+H461+-I461</f>
        <v>8</v>
      </c>
      <c r="L461" s="8"/>
      <c r="M461" s="9">
        <v>1250</v>
      </c>
      <c r="N461" s="9">
        <f t="shared" si="41"/>
        <v>10000</v>
      </c>
      <c r="O461" s="9"/>
      <c r="P461" s="9"/>
      <c r="Q461" s="10" t="s">
        <v>209</v>
      </c>
    </row>
    <row r="462" spans="1:17" s="11" customFormat="1" ht="39.950000000000003" customHeight="1" x14ac:dyDescent="0.3">
      <c r="A462" s="18" t="s">
        <v>976</v>
      </c>
      <c r="B462" s="23">
        <v>45643</v>
      </c>
      <c r="C462" s="8">
        <v>10</v>
      </c>
      <c r="D462" s="25" t="s">
        <v>2409</v>
      </c>
      <c r="E462" s="12" t="s">
        <v>213</v>
      </c>
      <c r="F462" s="18" t="s">
        <v>1779</v>
      </c>
      <c r="G462" s="8">
        <v>8</v>
      </c>
      <c r="H462" s="8"/>
      <c r="I462" s="8"/>
      <c r="J462" s="8"/>
      <c r="K462" s="8">
        <f>+G462+H462+-I462</f>
        <v>8</v>
      </c>
      <c r="L462" s="8"/>
      <c r="M462" s="9">
        <v>1375</v>
      </c>
      <c r="N462" s="9">
        <f t="shared" si="41"/>
        <v>11000</v>
      </c>
      <c r="O462" s="9"/>
      <c r="P462" s="9"/>
      <c r="Q462" s="10" t="s">
        <v>209</v>
      </c>
    </row>
    <row r="463" spans="1:17" s="11" customFormat="1" ht="39.950000000000003" customHeight="1" x14ac:dyDescent="0.3">
      <c r="A463" s="18" t="s">
        <v>977</v>
      </c>
      <c r="B463" s="23" t="s">
        <v>1521</v>
      </c>
      <c r="C463" s="8"/>
      <c r="D463" s="25" t="s">
        <v>2409</v>
      </c>
      <c r="E463" s="12" t="s">
        <v>214</v>
      </c>
      <c r="F463" s="18" t="s">
        <v>1779</v>
      </c>
      <c r="G463" s="8">
        <v>12</v>
      </c>
      <c r="H463" s="8"/>
      <c r="I463" s="8">
        <v>3</v>
      </c>
      <c r="J463" s="8"/>
      <c r="K463" s="8">
        <f>+G463+H463+-I463</f>
        <v>9</v>
      </c>
      <c r="L463" s="8"/>
      <c r="M463" s="9"/>
      <c r="N463" s="9">
        <f t="shared" si="41"/>
        <v>0</v>
      </c>
      <c r="O463" s="9"/>
      <c r="P463" s="9"/>
      <c r="Q463" s="10" t="s">
        <v>209</v>
      </c>
    </row>
    <row r="464" spans="1:17" s="11" customFormat="1" ht="39.950000000000003" customHeight="1" x14ac:dyDescent="0.3">
      <c r="A464" s="18" t="s">
        <v>978</v>
      </c>
      <c r="B464" s="23" t="s">
        <v>1521</v>
      </c>
      <c r="C464" s="8"/>
      <c r="D464" s="25" t="s">
        <v>2409</v>
      </c>
      <c r="E464" s="12" t="s">
        <v>1612</v>
      </c>
      <c r="F464" s="18" t="s">
        <v>1779</v>
      </c>
      <c r="G464" s="8"/>
      <c r="H464" s="8">
        <v>30</v>
      </c>
      <c r="I464" s="8"/>
      <c r="J464" s="8"/>
      <c r="K464" s="8">
        <f>+G464+H464-I464</f>
        <v>30</v>
      </c>
      <c r="L464" s="8"/>
      <c r="M464" s="9">
        <v>521.08799999999997</v>
      </c>
      <c r="N464" s="9">
        <f t="shared" si="41"/>
        <v>15632.64</v>
      </c>
      <c r="O464" s="9"/>
      <c r="P464" s="9"/>
      <c r="Q464" s="10" t="s">
        <v>209</v>
      </c>
    </row>
    <row r="465" spans="1:17" s="11" customFormat="1" ht="39.950000000000003" customHeight="1" x14ac:dyDescent="0.3">
      <c r="A465" s="18" t="s">
        <v>979</v>
      </c>
      <c r="B465" s="19">
        <v>45813</v>
      </c>
      <c r="C465" s="20"/>
      <c r="D465" s="53" t="s">
        <v>2473</v>
      </c>
      <c r="E465" s="12" t="s">
        <v>2239</v>
      </c>
      <c r="F465" s="21" t="s">
        <v>1779</v>
      </c>
      <c r="G465" s="8"/>
      <c r="H465" s="8">
        <v>24</v>
      </c>
      <c r="I465" s="8"/>
      <c r="J465" s="8"/>
      <c r="K465" s="8">
        <f>+G465+H465-I465+J465</f>
        <v>24</v>
      </c>
      <c r="L465" s="8"/>
      <c r="M465" s="9">
        <v>4504</v>
      </c>
      <c r="N465" s="9"/>
      <c r="O465" s="9"/>
      <c r="P465" s="9"/>
      <c r="Q465" s="10" t="s">
        <v>1321</v>
      </c>
    </row>
    <row r="466" spans="1:17" s="11" customFormat="1" ht="39.950000000000003" customHeight="1" x14ac:dyDescent="0.3">
      <c r="A466" s="18" t="s">
        <v>980</v>
      </c>
      <c r="B466" s="23">
        <v>45414</v>
      </c>
      <c r="C466" s="8"/>
      <c r="D466" s="12" t="s">
        <v>2394</v>
      </c>
      <c r="E466" s="12" t="s">
        <v>72</v>
      </c>
      <c r="F466" s="18" t="s">
        <v>1779</v>
      </c>
      <c r="G466" s="8">
        <v>2</v>
      </c>
      <c r="H466" s="8"/>
      <c r="I466" s="8"/>
      <c r="J466" s="8"/>
      <c r="K466" s="8">
        <f>+G466+H466-I466</f>
        <v>2</v>
      </c>
      <c r="L466" s="8"/>
      <c r="M466" s="9">
        <v>617</v>
      </c>
      <c r="N466" s="9">
        <f t="shared" ref="N466:N475" si="42">+K466*M466</f>
        <v>1234</v>
      </c>
      <c r="O466" s="9"/>
      <c r="P466" s="9"/>
      <c r="Q466" s="10" t="s">
        <v>25</v>
      </c>
    </row>
    <row r="467" spans="1:17" s="11" customFormat="1" ht="39.950000000000003" customHeight="1" x14ac:dyDescent="0.3">
      <c r="A467" s="18" t="s">
        <v>981</v>
      </c>
      <c r="B467" s="23">
        <v>45414</v>
      </c>
      <c r="C467" s="8"/>
      <c r="D467" s="12" t="s">
        <v>2394</v>
      </c>
      <c r="E467" s="12" t="s">
        <v>73</v>
      </c>
      <c r="F467" s="18" t="s">
        <v>1779</v>
      </c>
      <c r="G467" s="8">
        <v>2</v>
      </c>
      <c r="H467" s="8"/>
      <c r="I467" s="8"/>
      <c r="J467" s="8"/>
      <c r="K467" s="8">
        <f>+G467+H467-I467</f>
        <v>2</v>
      </c>
      <c r="L467" s="8"/>
      <c r="M467" s="9">
        <v>660</v>
      </c>
      <c r="N467" s="9">
        <f t="shared" si="42"/>
        <v>1320</v>
      </c>
      <c r="O467" s="9"/>
      <c r="P467" s="9"/>
      <c r="Q467" s="10" t="s">
        <v>25</v>
      </c>
    </row>
    <row r="468" spans="1:17" s="11" customFormat="1" ht="39.950000000000003" customHeight="1" x14ac:dyDescent="0.3">
      <c r="A468" s="18" t="s">
        <v>982</v>
      </c>
      <c r="B468" s="23"/>
      <c r="C468" s="8"/>
      <c r="D468" s="25" t="s">
        <v>2409</v>
      </c>
      <c r="E468" s="12" t="s">
        <v>1590</v>
      </c>
      <c r="F468" s="18" t="s">
        <v>1779</v>
      </c>
      <c r="G468" s="8"/>
      <c r="H468" s="8">
        <v>10</v>
      </c>
      <c r="I468" s="8"/>
      <c r="J468" s="8"/>
      <c r="K468" s="8">
        <f>+G468+H468-I468</f>
        <v>10</v>
      </c>
      <c r="L468" s="8"/>
      <c r="M468" s="9">
        <v>1369.4844000000001</v>
      </c>
      <c r="N468" s="9">
        <f t="shared" si="42"/>
        <v>13694.844000000001</v>
      </c>
      <c r="O468" s="9"/>
      <c r="P468" s="9"/>
      <c r="Q468" s="10" t="s">
        <v>1479</v>
      </c>
    </row>
    <row r="469" spans="1:17" s="11" customFormat="1" ht="39.950000000000003" customHeight="1" x14ac:dyDescent="0.3">
      <c r="A469" s="18" t="s">
        <v>983</v>
      </c>
      <c r="B469" s="23">
        <v>45418</v>
      </c>
      <c r="C469" s="8">
        <v>10</v>
      </c>
      <c r="D469" s="25" t="s">
        <v>2409</v>
      </c>
      <c r="E469" s="12" t="s">
        <v>215</v>
      </c>
      <c r="F469" s="18" t="s">
        <v>1779</v>
      </c>
      <c r="G469" s="8">
        <v>3</v>
      </c>
      <c r="H469" s="8"/>
      <c r="I469" s="8"/>
      <c r="J469" s="8"/>
      <c r="K469" s="8">
        <f t="shared" ref="K469:K475" si="43">+G469+H469+-I469</f>
        <v>3</v>
      </c>
      <c r="L469" s="8"/>
      <c r="M469" s="9">
        <v>650</v>
      </c>
      <c r="N469" s="9">
        <f t="shared" si="42"/>
        <v>1950</v>
      </c>
      <c r="O469" s="9"/>
      <c r="P469" s="9"/>
      <c r="Q469" s="10" t="s">
        <v>209</v>
      </c>
    </row>
    <row r="470" spans="1:17" s="11" customFormat="1" ht="39.950000000000003" customHeight="1" x14ac:dyDescent="0.3">
      <c r="A470" s="18" t="s">
        <v>984</v>
      </c>
      <c r="B470" s="23"/>
      <c r="C470" s="8"/>
      <c r="D470" s="25" t="s">
        <v>2409</v>
      </c>
      <c r="E470" s="12" t="s">
        <v>226</v>
      </c>
      <c r="F470" s="18" t="s">
        <v>1779</v>
      </c>
      <c r="G470" s="8">
        <v>4</v>
      </c>
      <c r="H470" s="8"/>
      <c r="I470" s="8"/>
      <c r="J470" s="8"/>
      <c r="K470" s="8">
        <f t="shared" si="43"/>
        <v>4</v>
      </c>
      <c r="L470" s="8"/>
      <c r="M470" s="9">
        <v>2600</v>
      </c>
      <c r="N470" s="9">
        <f t="shared" si="42"/>
        <v>10400</v>
      </c>
      <c r="O470" s="9"/>
      <c r="P470" s="9"/>
      <c r="Q470" s="10" t="s">
        <v>209</v>
      </c>
    </row>
    <row r="471" spans="1:17" s="11" customFormat="1" ht="39.950000000000003" customHeight="1" x14ac:dyDescent="0.3">
      <c r="A471" s="18" t="s">
        <v>985</v>
      </c>
      <c r="B471" s="23"/>
      <c r="C471" s="8"/>
      <c r="D471" s="25" t="s">
        <v>2409</v>
      </c>
      <c r="E471" s="12" t="s">
        <v>216</v>
      </c>
      <c r="F471" s="18" t="s">
        <v>1779</v>
      </c>
      <c r="G471" s="8">
        <v>1</v>
      </c>
      <c r="H471" s="8"/>
      <c r="I471" s="8"/>
      <c r="J471" s="8"/>
      <c r="K471" s="8">
        <f t="shared" si="43"/>
        <v>1</v>
      </c>
      <c r="L471" s="8"/>
      <c r="M471" s="9">
        <v>2950</v>
      </c>
      <c r="N471" s="9">
        <f t="shared" si="42"/>
        <v>2950</v>
      </c>
      <c r="O471" s="9"/>
      <c r="P471" s="9"/>
      <c r="Q471" s="10" t="s">
        <v>209</v>
      </c>
    </row>
    <row r="472" spans="1:17" s="11" customFormat="1" ht="39.950000000000003" customHeight="1" x14ac:dyDescent="0.3">
      <c r="A472" s="18" t="s">
        <v>986</v>
      </c>
      <c r="B472" s="23">
        <v>45019</v>
      </c>
      <c r="C472" s="8"/>
      <c r="D472" s="25" t="s">
        <v>2409</v>
      </c>
      <c r="E472" s="12" t="s">
        <v>217</v>
      </c>
      <c r="F472" s="18" t="s">
        <v>1779</v>
      </c>
      <c r="G472" s="8">
        <v>4</v>
      </c>
      <c r="H472" s="8"/>
      <c r="I472" s="8"/>
      <c r="J472" s="8"/>
      <c r="K472" s="8">
        <f t="shared" si="43"/>
        <v>4</v>
      </c>
      <c r="L472" s="8"/>
      <c r="M472" s="9"/>
      <c r="N472" s="9">
        <f t="shared" si="42"/>
        <v>0</v>
      </c>
      <c r="O472" s="9"/>
      <c r="P472" s="9"/>
      <c r="Q472" s="10" t="s">
        <v>209</v>
      </c>
    </row>
    <row r="473" spans="1:17" s="11" customFormat="1" ht="39.950000000000003" customHeight="1" x14ac:dyDescent="0.3">
      <c r="A473" s="18" t="s">
        <v>987</v>
      </c>
      <c r="B473" s="23">
        <v>44652</v>
      </c>
      <c r="C473" s="8"/>
      <c r="D473" s="25" t="s">
        <v>2409</v>
      </c>
      <c r="E473" s="12" t="s">
        <v>218</v>
      </c>
      <c r="F473" s="18" t="s">
        <v>1779</v>
      </c>
      <c r="G473" s="8">
        <v>4</v>
      </c>
      <c r="H473" s="8"/>
      <c r="I473" s="8"/>
      <c r="J473" s="8"/>
      <c r="K473" s="8">
        <f t="shared" si="43"/>
        <v>4</v>
      </c>
      <c r="L473" s="8"/>
      <c r="M473" s="9">
        <v>837</v>
      </c>
      <c r="N473" s="9">
        <f t="shared" si="42"/>
        <v>3348</v>
      </c>
      <c r="O473" s="9"/>
      <c r="P473" s="9"/>
      <c r="Q473" s="10" t="s">
        <v>209</v>
      </c>
    </row>
    <row r="474" spans="1:17" s="11" customFormat="1" ht="39.950000000000003" customHeight="1" x14ac:dyDescent="0.3">
      <c r="A474" s="18" t="s">
        <v>988</v>
      </c>
      <c r="B474" s="23" t="s">
        <v>4</v>
      </c>
      <c r="C474" s="8"/>
      <c r="D474" s="25" t="s">
        <v>2409</v>
      </c>
      <c r="E474" s="12" t="s">
        <v>219</v>
      </c>
      <c r="F474" s="18" t="s">
        <v>1779</v>
      </c>
      <c r="G474" s="8">
        <v>50</v>
      </c>
      <c r="H474" s="8"/>
      <c r="I474" s="8">
        <v>10</v>
      </c>
      <c r="J474" s="8"/>
      <c r="K474" s="8">
        <f t="shared" si="43"/>
        <v>40</v>
      </c>
      <c r="L474" s="8"/>
      <c r="M474" s="9">
        <v>1250</v>
      </c>
      <c r="N474" s="9">
        <f t="shared" si="42"/>
        <v>50000</v>
      </c>
      <c r="O474" s="9"/>
      <c r="P474" s="9"/>
      <c r="Q474" s="10" t="s">
        <v>209</v>
      </c>
    </row>
    <row r="475" spans="1:17" s="11" customFormat="1" ht="39.950000000000003" customHeight="1" x14ac:dyDescent="0.3">
      <c r="A475" s="18" t="s">
        <v>989</v>
      </c>
      <c r="B475" s="23">
        <v>44652</v>
      </c>
      <c r="C475" s="8"/>
      <c r="D475" s="25" t="s">
        <v>2409</v>
      </c>
      <c r="E475" s="12" t="s">
        <v>227</v>
      </c>
      <c r="F475" s="18" t="s">
        <v>1779</v>
      </c>
      <c r="G475" s="8">
        <v>11</v>
      </c>
      <c r="H475" s="8"/>
      <c r="I475" s="8"/>
      <c r="J475" s="8"/>
      <c r="K475" s="8">
        <f t="shared" si="43"/>
        <v>11</v>
      </c>
      <c r="L475" s="8"/>
      <c r="M475" s="9">
        <v>1090</v>
      </c>
      <c r="N475" s="9">
        <f t="shared" si="42"/>
        <v>11990</v>
      </c>
      <c r="O475" s="9"/>
      <c r="P475" s="9"/>
      <c r="Q475" s="10" t="s">
        <v>209</v>
      </c>
    </row>
    <row r="476" spans="1:17" s="11" customFormat="1" ht="39.950000000000003" customHeight="1" x14ac:dyDescent="0.3">
      <c r="A476" s="18" t="s">
        <v>990</v>
      </c>
      <c r="B476" s="23">
        <v>45797</v>
      </c>
      <c r="C476" s="8">
        <v>10</v>
      </c>
      <c r="D476" s="25" t="s">
        <v>2390</v>
      </c>
      <c r="E476" s="12" t="s">
        <v>1844</v>
      </c>
      <c r="F476" s="18" t="s">
        <v>1784</v>
      </c>
      <c r="G476" s="8"/>
      <c r="H476" s="8">
        <v>4</v>
      </c>
      <c r="I476" s="8"/>
      <c r="J476" s="8">
        <v>0</v>
      </c>
      <c r="K476" s="8">
        <f>+G476+H476-I476+J476</f>
        <v>4</v>
      </c>
      <c r="L476" s="8"/>
      <c r="M476" s="9">
        <v>6617</v>
      </c>
      <c r="N476" s="9">
        <f>+L476*M476</f>
        <v>0</v>
      </c>
      <c r="O476" s="9"/>
      <c r="P476" s="9"/>
      <c r="Q476" s="10" t="s">
        <v>1648</v>
      </c>
    </row>
    <row r="477" spans="1:17" s="11" customFormat="1" ht="39.950000000000003" customHeight="1" x14ac:dyDescent="0.3">
      <c r="A477" s="18" t="s">
        <v>991</v>
      </c>
      <c r="B477" s="23">
        <v>45631</v>
      </c>
      <c r="C477" s="8"/>
      <c r="D477" s="25" t="s">
        <v>2327</v>
      </c>
      <c r="E477" s="12" t="s">
        <v>1387</v>
      </c>
      <c r="F477" s="18" t="s">
        <v>1779</v>
      </c>
      <c r="G477" s="8">
        <v>8</v>
      </c>
      <c r="H477" s="8"/>
      <c r="I477" s="8">
        <v>8</v>
      </c>
      <c r="J477" s="8"/>
      <c r="K477" s="8">
        <f>+G477+H477-I477+J477</f>
        <v>0</v>
      </c>
      <c r="L477" s="8"/>
      <c r="M477" s="9">
        <v>383.5</v>
      </c>
      <c r="N477" s="9">
        <f t="shared" ref="N477:N483" si="44">+K477*M477</f>
        <v>0</v>
      </c>
      <c r="O477" s="9"/>
      <c r="P477" s="9"/>
      <c r="Q477" s="10" t="s">
        <v>1541</v>
      </c>
    </row>
    <row r="478" spans="1:17" s="11" customFormat="1" ht="39.950000000000003" customHeight="1" x14ac:dyDescent="0.3">
      <c r="A478" s="18" t="s">
        <v>992</v>
      </c>
      <c r="B478" s="23">
        <v>45019</v>
      </c>
      <c r="C478" s="8"/>
      <c r="D478" s="25" t="s">
        <v>2385</v>
      </c>
      <c r="E478" s="12" t="s">
        <v>1241</v>
      </c>
      <c r="F478" s="18" t="s">
        <v>1779</v>
      </c>
      <c r="G478" s="8">
        <v>9</v>
      </c>
      <c r="H478" s="8"/>
      <c r="I478" s="8">
        <f>1+2+1+1+1+1+1+1</f>
        <v>9</v>
      </c>
      <c r="J478" s="8"/>
      <c r="K478" s="8">
        <f t="shared" ref="K478:K483" si="45">+G478+H478+-I478</f>
        <v>0</v>
      </c>
      <c r="L478" s="8"/>
      <c r="M478" s="9">
        <v>360</v>
      </c>
      <c r="N478" s="9">
        <f t="shared" si="44"/>
        <v>0</v>
      </c>
      <c r="O478" s="9"/>
      <c r="P478" s="9"/>
      <c r="Q478" s="10" t="s">
        <v>297</v>
      </c>
    </row>
    <row r="479" spans="1:17" s="11" customFormat="1" ht="39.950000000000003" customHeight="1" x14ac:dyDescent="0.3">
      <c r="A479" s="18" t="s">
        <v>993</v>
      </c>
      <c r="B479" s="23">
        <v>45019</v>
      </c>
      <c r="C479" s="8"/>
      <c r="D479" s="25" t="s">
        <v>2385</v>
      </c>
      <c r="E479" s="12" t="s">
        <v>1584</v>
      </c>
      <c r="F479" s="18" t="s">
        <v>1779</v>
      </c>
      <c r="G479" s="8">
        <v>8</v>
      </c>
      <c r="H479" s="8"/>
      <c r="I479" s="8">
        <f>1+1+1+1+1+1+1+1</f>
        <v>8</v>
      </c>
      <c r="J479" s="8"/>
      <c r="K479" s="8">
        <f t="shared" si="45"/>
        <v>0</v>
      </c>
      <c r="L479" s="8"/>
      <c r="M479" s="9">
        <v>650</v>
      </c>
      <c r="N479" s="9">
        <f t="shared" si="44"/>
        <v>0</v>
      </c>
      <c r="O479" s="9"/>
      <c r="P479" s="9"/>
      <c r="Q479" s="10" t="s">
        <v>297</v>
      </c>
    </row>
    <row r="480" spans="1:17" s="11" customFormat="1" ht="39.950000000000003" customHeight="1" x14ac:dyDescent="0.3">
      <c r="A480" s="18" t="s">
        <v>994</v>
      </c>
      <c r="B480" s="23" t="s">
        <v>4</v>
      </c>
      <c r="C480" s="8"/>
      <c r="D480" s="25" t="s">
        <v>2385</v>
      </c>
      <c r="E480" s="12" t="s">
        <v>1585</v>
      </c>
      <c r="F480" s="18" t="s">
        <v>1779</v>
      </c>
      <c r="G480" s="8">
        <v>17</v>
      </c>
      <c r="H480" s="8"/>
      <c r="I480" s="8"/>
      <c r="J480" s="8"/>
      <c r="K480" s="8">
        <f t="shared" si="45"/>
        <v>17</v>
      </c>
      <c r="L480" s="8"/>
      <c r="M480" s="9">
        <v>100</v>
      </c>
      <c r="N480" s="9">
        <f t="shared" si="44"/>
        <v>1700</v>
      </c>
      <c r="O480" s="9"/>
      <c r="P480" s="9"/>
      <c r="Q480" s="10" t="s">
        <v>297</v>
      </c>
    </row>
    <row r="481" spans="1:17" s="11" customFormat="1" ht="39.950000000000003" customHeight="1" x14ac:dyDescent="0.3">
      <c r="A481" s="18" t="s">
        <v>995</v>
      </c>
      <c r="B481" s="23" t="s">
        <v>4</v>
      </c>
      <c r="C481" s="8"/>
      <c r="D481" s="25" t="s">
        <v>2385</v>
      </c>
      <c r="E481" s="12" t="s">
        <v>1586</v>
      </c>
      <c r="F481" s="18" t="s">
        <v>1779</v>
      </c>
      <c r="G481" s="8">
        <v>29</v>
      </c>
      <c r="H481" s="8"/>
      <c r="I481" s="8">
        <f>11+18</f>
        <v>29</v>
      </c>
      <c r="J481" s="8"/>
      <c r="K481" s="8">
        <f t="shared" si="45"/>
        <v>0</v>
      </c>
      <c r="L481" s="8"/>
      <c r="M481" s="9">
        <v>450</v>
      </c>
      <c r="N481" s="9">
        <f t="shared" si="44"/>
        <v>0</v>
      </c>
      <c r="O481" s="9"/>
      <c r="P481" s="9"/>
      <c r="Q481" s="10" t="s">
        <v>297</v>
      </c>
    </row>
    <row r="482" spans="1:17" s="11" customFormat="1" ht="39.950000000000003" customHeight="1" x14ac:dyDescent="0.3">
      <c r="A482" s="18" t="s">
        <v>996</v>
      </c>
      <c r="B482" s="23" t="s">
        <v>4</v>
      </c>
      <c r="C482" s="8"/>
      <c r="D482" s="25" t="s">
        <v>2385</v>
      </c>
      <c r="E482" s="12" t="s">
        <v>345</v>
      </c>
      <c r="F482" s="18" t="s">
        <v>1779</v>
      </c>
      <c r="G482" s="8">
        <f>34-2</f>
        <v>32</v>
      </c>
      <c r="H482" s="8"/>
      <c r="I482" s="8">
        <f>4+3</f>
        <v>7</v>
      </c>
      <c r="J482" s="8"/>
      <c r="K482" s="8">
        <f t="shared" si="45"/>
        <v>25</v>
      </c>
      <c r="L482" s="8"/>
      <c r="M482" s="9">
        <v>4.55</v>
      </c>
      <c r="N482" s="9">
        <f t="shared" si="44"/>
        <v>113.75</v>
      </c>
      <c r="O482" s="9"/>
      <c r="P482" s="9"/>
      <c r="Q482" s="10" t="s">
        <v>297</v>
      </c>
    </row>
    <row r="483" spans="1:17" s="11" customFormat="1" ht="39.950000000000003" customHeight="1" x14ac:dyDescent="0.3">
      <c r="A483" s="18" t="s">
        <v>997</v>
      </c>
      <c r="B483" s="23" t="s">
        <v>4</v>
      </c>
      <c r="C483" s="8"/>
      <c r="D483" s="25" t="s">
        <v>2385</v>
      </c>
      <c r="E483" s="12" t="s">
        <v>1242</v>
      </c>
      <c r="F483" s="18" t="s">
        <v>1779</v>
      </c>
      <c r="G483" s="8">
        <v>15</v>
      </c>
      <c r="H483" s="8"/>
      <c r="I483" s="8">
        <f>1+2+1+1+1+1+1</f>
        <v>8</v>
      </c>
      <c r="J483" s="8"/>
      <c r="K483" s="8">
        <f t="shared" si="45"/>
        <v>7</v>
      </c>
      <c r="L483" s="8"/>
      <c r="M483" s="9">
        <v>360</v>
      </c>
      <c r="N483" s="9">
        <f t="shared" si="44"/>
        <v>2520</v>
      </c>
      <c r="O483" s="9"/>
      <c r="P483" s="9"/>
      <c r="Q483" s="10" t="s">
        <v>297</v>
      </c>
    </row>
    <row r="484" spans="1:17" s="11" customFormat="1" ht="39.950000000000003" customHeight="1" x14ac:dyDescent="0.3">
      <c r="A484" s="18" t="s">
        <v>998</v>
      </c>
      <c r="B484" s="23" t="s">
        <v>1581</v>
      </c>
      <c r="C484" s="8"/>
      <c r="D484" s="25"/>
      <c r="E484" s="12" t="s">
        <v>1695</v>
      </c>
      <c r="F484" s="18" t="s">
        <v>1779</v>
      </c>
      <c r="G484" s="8"/>
      <c r="H484" s="8">
        <f>25+30</f>
        <v>55</v>
      </c>
      <c r="I484" s="8">
        <v>1</v>
      </c>
      <c r="J484" s="8">
        <v>0</v>
      </c>
      <c r="K484" s="8">
        <f>+G484+H484-I484+J484</f>
        <v>54</v>
      </c>
      <c r="L484" s="8"/>
      <c r="M484" s="9">
        <v>911.99839999999995</v>
      </c>
      <c r="N484" s="9">
        <f>+L484*M484</f>
        <v>0</v>
      </c>
      <c r="O484" s="9"/>
      <c r="P484" s="9"/>
      <c r="Q484" s="10" t="s">
        <v>1887</v>
      </c>
    </row>
    <row r="485" spans="1:17" s="11" customFormat="1" ht="39.950000000000003" customHeight="1" x14ac:dyDescent="0.3">
      <c r="A485" s="18" t="s">
        <v>999</v>
      </c>
      <c r="B485" s="23"/>
      <c r="C485" s="8"/>
      <c r="D485" s="12" t="s">
        <v>2394</v>
      </c>
      <c r="E485" s="12" t="s">
        <v>74</v>
      </c>
      <c r="F485" s="18" t="s">
        <v>1779</v>
      </c>
      <c r="G485" s="8">
        <v>4</v>
      </c>
      <c r="H485" s="8"/>
      <c r="I485" s="8">
        <f>1+1</f>
        <v>2</v>
      </c>
      <c r="J485" s="8"/>
      <c r="K485" s="8">
        <f>+G485+H485-I485</f>
        <v>2</v>
      </c>
      <c r="L485" s="8"/>
      <c r="M485" s="9">
        <v>269</v>
      </c>
      <c r="N485" s="9">
        <f>+K485*M485</f>
        <v>538</v>
      </c>
      <c r="O485" s="9"/>
      <c r="P485" s="9"/>
      <c r="Q485" s="10" t="s">
        <v>25</v>
      </c>
    </row>
    <row r="486" spans="1:17" s="11" customFormat="1" ht="39.950000000000003" customHeight="1" x14ac:dyDescent="0.3">
      <c r="A486" s="18" t="s">
        <v>1000</v>
      </c>
      <c r="B486" s="23"/>
      <c r="C486" s="8"/>
      <c r="D486" s="25" t="s">
        <v>2325</v>
      </c>
      <c r="E486" s="12" t="s">
        <v>1668</v>
      </c>
      <c r="F486" s="18" t="s">
        <v>1779</v>
      </c>
      <c r="G486" s="8">
        <v>1</v>
      </c>
      <c r="H486" s="8"/>
      <c r="I486" s="8"/>
      <c r="J486" s="8">
        <v>0</v>
      </c>
      <c r="K486" s="8">
        <f>+G486+H486-I486+J486</f>
        <v>1</v>
      </c>
      <c r="L486" s="8"/>
      <c r="M486" s="9">
        <v>1195</v>
      </c>
      <c r="N486" s="9">
        <f>+L486*M486</f>
        <v>0</v>
      </c>
      <c r="O486" s="9"/>
      <c r="P486" s="9"/>
      <c r="Q486" s="10" t="s">
        <v>1887</v>
      </c>
    </row>
    <row r="487" spans="1:17" s="11" customFormat="1" ht="39.950000000000003" customHeight="1" x14ac:dyDescent="0.3">
      <c r="A487" s="18" t="s">
        <v>1001</v>
      </c>
      <c r="B487" s="23">
        <v>45698</v>
      </c>
      <c r="C487" s="8">
        <v>10</v>
      </c>
      <c r="D487" s="25" t="s">
        <v>2327</v>
      </c>
      <c r="E487" s="12" t="s">
        <v>1535</v>
      </c>
      <c r="F487" s="18" t="s">
        <v>1779</v>
      </c>
      <c r="G487" s="8">
        <f>8*100</f>
        <v>800</v>
      </c>
      <c r="H487" s="8">
        <f>2000+3000</f>
        <v>5000</v>
      </c>
      <c r="I487" s="8">
        <f>2200+300+500+500+100+400+500+100+300+100+100+200+300</f>
        <v>5600</v>
      </c>
      <c r="J487" s="8"/>
      <c r="K487" s="8">
        <f>+G487+H487-I487+J487</f>
        <v>200</v>
      </c>
      <c r="L487" s="8"/>
      <c r="M487" s="9">
        <v>3.4809999999999999</v>
      </c>
      <c r="N487" s="9">
        <f t="shared" ref="N487:N493" si="46">+K487*M487</f>
        <v>696.19999999999993</v>
      </c>
      <c r="O487" s="9"/>
      <c r="P487" s="9"/>
      <c r="Q487" s="10" t="s">
        <v>235</v>
      </c>
    </row>
    <row r="488" spans="1:17" s="11" customFormat="1" ht="39.950000000000003" customHeight="1" x14ac:dyDescent="0.3">
      <c r="A488" s="18" t="s">
        <v>1002</v>
      </c>
      <c r="B488" s="23">
        <v>45698</v>
      </c>
      <c r="C488" s="8">
        <v>10</v>
      </c>
      <c r="D488" s="25" t="s">
        <v>2327</v>
      </c>
      <c r="E488" s="12" t="s">
        <v>262</v>
      </c>
      <c r="F488" s="18" t="s">
        <v>1779</v>
      </c>
      <c r="G488" s="8">
        <f>1400-200-100-100</f>
        <v>1000</v>
      </c>
      <c r="H488" s="8">
        <f>2500+3000</f>
        <v>5500</v>
      </c>
      <c r="I488" s="8">
        <f>100+100+100+100+100+400+1000+400+300-800+500+2900+300+400+100+300+200</f>
        <v>6500</v>
      </c>
      <c r="J488" s="8"/>
      <c r="K488" s="8">
        <f>+G488+H488+-I488</f>
        <v>0</v>
      </c>
      <c r="L488" s="8"/>
      <c r="M488" s="9">
        <v>5.31</v>
      </c>
      <c r="N488" s="9">
        <f t="shared" si="46"/>
        <v>0</v>
      </c>
      <c r="O488" s="9"/>
      <c r="P488" s="9"/>
      <c r="Q488" s="10" t="s">
        <v>235</v>
      </c>
    </row>
    <row r="489" spans="1:17" s="11" customFormat="1" ht="39.950000000000003" customHeight="1" x14ac:dyDescent="0.3">
      <c r="A489" s="18" t="s">
        <v>1003</v>
      </c>
      <c r="B489" s="23">
        <v>45698</v>
      </c>
      <c r="C489" s="8">
        <v>10</v>
      </c>
      <c r="D489" s="25" t="s">
        <v>2327</v>
      </c>
      <c r="E489" s="12" t="s">
        <v>263</v>
      </c>
      <c r="F489" s="18" t="s">
        <v>1779</v>
      </c>
      <c r="G489" s="8">
        <f>1600-100-100-200-100-100-100</f>
        <v>900</v>
      </c>
      <c r="H489" s="8">
        <f>2500+3000+2500</f>
        <v>8000</v>
      </c>
      <c r="I489" s="8">
        <f>3500+100</f>
        <v>3600</v>
      </c>
      <c r="J489" s="8"/>
      <c r="K489" s="8">
        <f>+G489+H489+-I489</f>
        <v>5300</v>
      </c>
      <c r="L489" s="8"/>
      <c r="M489" s="9">
        <v>10.029999999999999</v>
      </c>
      <c r="N489" s="9">
        <f t="shared" si="46"/>
        <v>53159</v>
      </c>
      <c r="O489" s="9"/>
      <c r="P489" s="9"/>
      <c r="Q489" s="10" t="s">
        <v>235</v>
      </c>
    </row>
    <row r="490" spans="1:17" s="11" customFormat="1" ht="39.950000000000003" customHeight="1" x14ac:dyDescent="0.3">
      <c r="A490" s="18" t="s">
        <v>1004</v>
      </c>
      <c r="B490" s="23">
        <v>45698</v>
      </c>
      <c r="C490" s="8">
        <v>10</v>
      </c>
      <c r="D490" s="25" t="s">
        <v>2327</v>
      </c>
      <c r="E490" s="12" t="s">
        <v>264</v>
      </c>
      <c r="F490" s="18" t="s">
        <v>1779</v>
      </c>
      <c r="G490" s="8">
        <f>1600-100-100-100-100-100-100</f>
        <v>1000</v>
      </c>
      <c r="H490" s="8">
        <f>700+1800+400+3000</f>
        <v>5900</v>
      </c>
      <c r="I490" s="8">
        <f>600+300+300+1000+300+500+400+300+400+100+100+300+400+400+300</f>
        <v>5700</v>
      </c>
      <c r="J490" s="8"/>
      <c r="K490" s="8">
        <f>+G490+H490+-I490</f>
        <v>1200</v>
      </c>
      <c r="L490" s="8"/>
      <c r="M490" s="9">
        <v>11.21</v>
      </c>
      <c r="N490" s="9">
        <f t="shared" si="46"/>
        <v>13452.000000000002</v>
      </c>
      <c r="O490" s="9"/>
      <c r="P490" s="9"/>
      <c r="Q490" s="10" t="s">
        <v>235</v>
      </c>
    </row>
    <row r="491" spans="1:17" s="11" customFormat="1" ht="39.950000000000003" customHeight="1" x14ac:dyDescent="0.3">
      <c r="A491" s="18" t="s">
        <v>1005</v>
      </c>
      <c r="B491" s="23">
        <v>45469</v>
      </c>
      <c r="C491" s="8"/>
      <c r="D491" s="25"/>
      <c r="E491" s="12" t="s">
        <v>158</v>
      </c>
      <c r="F491" s="18" t="s">
        <v>1779</v>
      </c>
      <c r="G491" s="8">
        <v>4</v>
      </c>
      <c r="H491" s="8"/>
      <c r="I491" s="8"/>
      <c r="J491" s="8"/>
      <c r="K491" s="8">
        <f>+G491+H491+-I491</f>
        <v>4</v>
      </c>
      <c r="L491" s="8"/>
      <c r="M491" s="9">
        <v>130</v>
      </c>
      <c r="N491" s="9">
        <f t="shared" si="46"/>
        <v>520</v>
      </c>
      <c r="O491" s="9"/>
      <c r="P491" s="9"/>
      <c r="Q491" s="10" t="s">
        <v>140</v>
      </c>
    </row>
    <row r="492" spans="1:17" s="11" customFormat="1" ht="39.950000000000003" customHeight="1" x14ac:dyDescent="0.3">
      <c r="A492" s="18" t="s">
        <v>1006</v>
      </c>
      <c r="B492" s="23">
        <v>45414</v>
      </c>
      <c r="C492" s="8"/>
      <c r="D492" s="25" t="s">
        <v>2326</v>
      </c>
      <c r="E492" s="12" t="s">
        <v>1715</v>
      </c>
      <c r="F492" s="18" t="s">
        <v>1779</v>
      </c>
      <c r="G492" s="8"/>
      <c r="H492" s="8">
        <v>10</v>
      </c>
      <c r="I492" s="8">
        <f>1+1</f>
        <v>2</v>
      </c>
      <c r="J492" s="8"/>
      <c r="K492" s="8">
        <f>+G492+H492-I492+J492</f>
        <v>8</v>
      </c>
      <c r="L492" s="8">
        <v>8</v>
      </c>
      <c r="M492" s="9">
        <v>1888</v>
      </c>
      <c r="N492" s="9">
        <f t="shared" si="46"/>
        <v>15104</v>
      </c>
      <c r="O492" s="9"/>
      <c r="P492" s="9"/>
      <c r="Q492" s="10" t="s">
        <v>1191</v>
      </c>
    </row>
    <row r="493" spans="1:17" s="11" customFormat="1" ht="39.950000000000003" customHeight="1" x14ac:dyDescent="0.3">
      <c r="A493" s="18" t="s">
        <v>1007</v>
      </c>
      <c r="B493" s="23">
        <v>44193</v>
      </c>
      <c r="C493" s="8"/>
      <c r="D493" s="25" t="s">
        <v>2385</v>
      </c>
      <c r="E493" s="12" t="s">
        <v>346</v>
      </c>
      <c r="F493" s="18" t="s">
        <v>1779</v>
      </c>
      <c r="G493" s="8">
        <v>26</v>
      </c>
      <c r="H493" s="8"/>
      <c r="I493" s="8">
        <f>1+1+1+1+1+1+1</f>
        <v>7</v>
      </c>
      <c r="J493" s="8"/>
      <c r="K493" s="8">
        <f>+G493+H493+-I493</f>
        <v>19</v>
      </c>
      <c r="L493" s="8"/>
      <c r="M493" s="9">
        <v>56.87</v>
      </c>
      <c r="N493" s="9">
        <f t="shared" si="46"/>
        <v>1080.53</v>
      </c>
      <c r="O493" s="9"/>
      <c r="P493" s="9"/>
      <c r="Q493" s="10" t="s">
        <v>297</v>
      </c>
    </row>
    <row r="494" spans="1:17" s="11" customFormat="1" ht="40.5" x14ac:dyDescent="0.3">
      <c r="A494" s="18" t="s">
        <v>1008</v>
      </c>
      <c r="B494" s="23" t="s">
        <v>1581</v>
      </c>
      <c r="C494" s="8"/>
      <c r="D494" s="25" t="s">
        <v>2440</v>
      </c>
      <c r="E494" s="12" t="s">
        <v>1710</v>
      </c>
      <c r="F494" s="18" t="s">
        <v>1779</v>
      </c>
      <c r="G494" s="8"/>
      <c r="H494" s="8">
        <v>5</v>
      </c>
      <c r="I494" s="8">
        <v>1</v>
      </c>
      <c r="J494" s="8">
        <v>0</v>
      </c>
      <c r="K494" s="8">
        <f>+G494+H494-I494+J494</f>
        <v>4</v>
      </c>
      <c r="L494" s="8"/>
      <c r="M494" s="9">
        <v>407.1</v>
      </c>
      <c r="N494" s="9">
        <f>+L494*M494</f>
        <v>0</v>
      </c>
      <c r="O494" s="9"/>
      <c r="P494" s="9"/>
      <c r="Q494" s="10" t="s">
        <v>1887</v>
      </c>
    </row>
    <row r="495" spans="1:17" s="11" customFormat="1" ht="40.5" x14ac:dyDescent="0.3">
      <c r="A495" s="18" t="s">
        <v>1009</v>
      </c>
      <c r="B495" s="23"/>
      <c r="C495" s="8"/>
      <c r="D495" s="25" t="s">
        <v>2440</v>
      </c>
      <c r="E495" s="12" t="s">
        <v>1669</v>
      </c>
      <c r="F495" s="18" t="s">
        <v>1889</v>
      </c>
      <c r="G495" s="8">
        <v>1</v>
      </c>
      <c r="H495" s="8"/>
      <c r="I495" s="8"/>
      <c r="J495" s="8">
        <v>0</v>
      </c>
      <c r="K495" s="8">
        <f>+G495+H495-I495+J495</f>
        <v>1</v>
      </c>
      <c r="L495" s="8"/>
      <c r="M495" s="9">
        <v>1550</v>
      </c>
      <c r="N495" s="9">
        <f>+L495*M495</f>
        <v>0</v>
      </c>
      <c r="O495" s="9"/>
      <c r="P495" s="9"/>
      <c r="Q495" s="10" t="s">
        <v>1887</v>
      </c>
    </row>
    <row r="496" spans="1:17" s="11" customFormat="1" ht="40.5" x14ac:dyDescent="0.3">
      <c r="A496" s="18" t="s">
        <v>1010</v>
      </c>
      <c r="B496" s="23"/>
      <c r="C496" s="8"/>
      <c r="D496" s="25" t="s">
        <v>2322</v>
      </c>
      <c r="E496" s="12" t="s">
        <v>1673</v>
      </c>
      <c r="F496" s="18" t="s">
        <v>1780</v>
      </c>
      <c r="G496" s="8">
        <v>5</v>
      </c>
      <c r="H496" s="8"/>
      <c r="I496" s="8">
        <v>1</v>
      </c>
      <c r="J496" s="8">
        <v>0</v>
      </c>
      <c r="K496" s="8">
        <f>+G496+H496-I496+J496</f>
        <v>4</v>
      </c>
      <c r="L496" s="8"/>
      <c r="M496" s="9">
        <v>1100</v>
      </c>
      <c r="N496" s="9">
        <f>+L496*M496</f>
        <v>0</v>
      </c>
      <c r="O496" s="9"/>
      <c r="P496" s="9"/>
      <c r="Q496" s="10" t="s">
        <v>1887</v>
      </c>
    </row>
    <row r="497" spans="1:17" s="11" customFormat="1" ht="40.5" x14ac:dyDescent="0.3">
      <c r="A497" s="18" t="s">
        <v>1011</v>
      </c>
      <c r="B497" s="23"/>
      <c r="C497" s="8"/>
      <c r="D497" s="25" t="s">
        <v>2322</v>
      </c>
      <c r="E497" s="12" t="s">
        <v>1674</v>
      </c>
      <c r="F497" s="18" t="s">
        <v>1780</v>
      </c>
      <c r="G497" s="8">
        <v>2</v>
      </c>
      <c r="H497" s="8"/>
      <c r="I497" s="8">
        <v>1</v>
      </c>
      <c r="J497" s="8">
        <v>0</v>
      </c>
      <c r="K497" s="8">
        <f>+G497+H497-I497+J497</f>
        <v>1</v>
      </c>
      <c r="L497" s="8"/>
      <c r="M497" s="9">
        <v>750</v>
      </c>
      <c r="N497" s="9">
        <f>+L497*M497</f>
        <v>0</v>
      </c>
      <c r="O497" s="9"/>
      <c r="P497" s="9"/>
      <c r="Q497" s="10" t="s">
        <v>1887</v>
      </c>
    </row>
    <row r="498" spans="1:17" s="11" customFormat="1" ht="20.25" x14ac:dyDescent="0.3">
      <c r="A498" s="18" t="s">
        <v>1012</v>
      </c>
      <c r="B498" s="23">
        <v>45693</v>
      </c>
      <c r="C498" s="8"/>
      <c r="D498" s="25" t="s">
        <v>2440</v>
      </c>
      <c r="E498" s="12" t="s">
        <v>1806</v>
      </c>
      <c r="F498" s="18" t="s">
        <v>1807</v>
      </c>
      <c r="G498" s="8"/>
      <c r="H498" s="8">
        <v>1</v>
      </c>
      <c r="I498" s="8">
        <v>1</v>
      </c>
      <c r="J498" s="8"/>
      <c r="K498" s="8">
        <f>+G498+H498+-I498</f>
        <v>0</v>
      </c>
      <c r="L498" s="8"/>
      <c r="M498" s="9">
        <v>2195</v>
      </c>
      <c r="N498" s="9">
        <f>+K498*M498</f>
        <v>0</v>
      </c>
      <c r="O498" s="9"/>
      <c r="P498" s="9"/>
      <c r="Q498" s="10" t="s">
        <v>1808</v>
      </c>
    </row>
    <row r="499" spans="1:17" s="11" customFormat="1" ht="40.5" x14ac:dyDescent="0.3">
      <c r="A499" s="18" t="s">
        <v>1013</v>
      </c>
      <c r="B499" s="23" t="s">
        <v>257</v>
      </c>
      <c r="C499" s="8"/>
      <c r="D499" s="25" t="s">
        <v>2440</v>
      </c>
      <c r="E499" s="12" t="s">
        <v>147</v>
      </c>
      <c r="F499" s="18" t="s">
        <v>1779</v>
      </c>
      <c r="G499" s="8">
        <v>200</v>
      </c>
      <c r="H499" s="8"/>
      <c r="I499" s="8"/>
      <c r="J499" s="8"/>
      <c r="K499" s="8">
        <f>+G499+H499-I499</f>
        <v>200</v>
      </c>
      <c r="L499" s="8"/>
      <c r="M499" s="9">
        <v>5.0999999999999996</v>
      </c>
      <c r="N499" s="9">
        <f>+K499*M499</f>
        <v>1019.9999999999999</v>
      </c>
      <c r="O499" s="9"/>
      <c r="P499" s="9"/>
      <c r="Q499" s="10" t="s">
        <v>140</v>
      </c>
    </row>
    <row r="500" spans="1:17" s="11" customFormat="1" ht="40.5" x14ac:dyDescent="0.3">
      <c r="A500" s="18" t="s">
        <v>1014</v>
      </c>
      <c r="B500" s="23" t="s">
        <v>299</v>
      </c>
      <c r="C500" s="8"/>
      <c r="D500" s="25" t="s">
        <v>2440</v>
      </c>
      <c r="E500" s="12" t="s">
        <v>148</v>
      </c>
      <c r="F500" s="18" t="s">
        <v>1779</v>
      </c>
      <c r="G500" s="8">
        <f>339-100</f>
        <v>239</v>
      </c>
      <c r="H500" s="8"/>
      <c r="I500" s="8"/>
      <c r="J500" s="8"/>
      <c r="K500" s="8">
        <f>+G500+H500-I500</f>
        <v>239</v>
      </c>
      <c r="L500" s="8"/>
      <c r="M500" s="9">
        <v>5.0999999999999996</v>
      </c>
      <c r="N500" s="9">
        <f>+K500*M500</f>
        <v>1218.8999999999999</v>
      </c>
      <c r="O500" s="9"/>
      <c r="P500" s="9"/>
      <c r="Q500" s="10" t="s">
        <v>140</v>
      </c>
    </row>
    <row r="501" spans="1:17" s="11" customFormat="1" ht="40.5" x14ac:dyDescent="0.3">
      <c r="A501" s="18" t="s">
        <v>1015</v>
      </c>
      <c r="B501" s="23"/>
      <c r="C501" s="8"/>
      <c r="D501" s="25" t="s">
        <v>2440</v>
      </c>
      <c r="E501" s="12" t="s">
        <v>1670</v>
      </c>
      <c r="F501" s="18" t="s">
        <v>1779</v>
      </c>
      <c r="G501" s="8">
        <v>34</v>
      </c>
      <c r="H501" s="8"/>
      <c r="I501" s="8"/>
      <c r="J501" s="8">
        <v>0</v>
      </c>
      <c r="K501" s="8">
        <f>+G501+H501-I501+J501</f>
        <v>34</v>
      </c>
      <c r="L501" s="8"/>
      <c r="M501" s="9"/>
      <c r="N501" s="9">
        <f>+L501*M501</f>
        <v>0</v>
      </c>
      <c r="O501" s="9"/>
      <c r="P501" s="9"/>
      <c r="Q501" s="10" t="s">
        <v>1887</v>
      </c>
    </row>
    <row r="502" spans="1:17" s="11" customFormat="1" ht="40.5" customHeight="1" x14ac:dyDescent="0.3">
      <c r="A502" s="18" t="s">
        <v>1016</v>
      </c>
      <c r="B502" s="23"/>
      <c r="C502" s="8"/>
      <c r="D502" s="25" t="s">
        <v>2385</v>
      </c>
      <c r="E502" s="12" t="s">
        <v>347</v>
      </c>
      <c r="F502" s="18" t="s">
        <v>1779</v>
      </c>
      <c r="G502" s="8">
        <v>1</v>
      </c>
      <c r="H502" s="8"/>
      <c r="I502" s="8"/>
      <c r="J502" s="8"/>
      <c r="K502" s="8">
        <f>+G502+H502+-I502</f>
        <v>1</v>
      </c>
      <c r="L502" s="8"/>
      <c r="M502" s="9">
        <v>472</v>
      </c>
      <c r="N502" s="9">
        <f>+K502*M502</f>
        <v>472</v>
      </c>
      <c r="O502" s="9"/>
      <c r="P502" s="9"/>
      <c r="Q502" s="10" t="s">
        <v>297</v>
      </c>
    </row>
    <row r="503" spans="1:17" s="11" customFormat="1" ht="23.25" customHeight="1" x14ac:dyDescent="0.3">
      <c r="A503" s="18" t="s">
        <v>1017</v>
      </c>
      <c r="B503" s="23" t="s">
        <v>302</v>
      </c>
      <c r="C503" s="8"/>
      <c r="D503" s="25" t="s">
        <v>2385</v>
      </c>
      <c r="E503" s="12" t="s">
        <v>348</v>
      </c>
      <c r="F503" s="18" t="s">
        <v>1779</v>
      </c>
      <c r="G503" s="8">
        <f>12-1</f>
        <v>11</v>
      </c>
      <c r="H503" s="8"/>
      <c r="I503" s="8">
        <f>1+1+1+1+1+2+1+1+2</f>
        <v>11</v>
      </c>
      <c r="J503" s="8"/>
      <c r="K503" s="8">
        <f>+G503+H503+-I503</f>
        <v>0</v>
      </c>
      <c r="L503" s="8"/>
      <c r="M503" s="9">
        <v>472</v>
      </c>
      <c r="N503" s="9">
        <f>+K503*M503</f>
        <v>0</v>
      </c>
      <c r="O503" s="9"/>
      <c r="P503" s="9"/>
      <c r="Q503" s="10" t="s">
        <v>297</v>
      </c>
    </row>
    <row r="504" spans="1:17" s="11" customFormat="1" ht="20.25" x14ac:dyDescent="0.3">
      <c r="A504" s="18" t="s">
        <v>1018</v>
      </c>
      <c r="B504" s="23">
        <v>44193</v>
      </c>
      <c r="C504" s="8"/>
      <c r="D504" s="25" t="s">
        <v>2385</v>
      </c>
      <c r="E504" s="12" t="s">
        <v>1774</v>
      </c>
      <c r="F504" s="18" t="s">
        <v>1779</v>
      </c>
      <c r="G504" s="8">
        <v>13</v>
      </c>
      <c r="H504" s="8"/>
      <c r="I504" s="8">
        <f>1+1+1+1+1+1</f>
        <v>6</v>
      </c>
      <c r="J504" s="8"/>
      <c r="K504" s="8">
        <f>+G504+H504+-I504</f>
        <v>7</v>
      </c>
      <c r="L504" s="8"/>
      <c r="M504" s="9">
        <v>59.13</v>
      </c>
      <c r="N504" s="9">
        <f>+K504*M504</f>
        <v>413.91</v>
      </c>
      <c r="O504" s="9"/>
      <c r="P504" s="9"/>
      <c r="Q504" s="10" t="s">
        <v>297</v>
      </c>
    </row>
    <row r="505" spans="1:17" s="11" customFormat="1" ht="20.25" x14ac:dyDescent="0.3">
      <c r="A505" s="18" t="s">
        <v>1019</v>
      </c>
      <c r="B505" s="23"/>
      <c r="C505" s="8"/>
      <c r="D505" s="25"/>
      <c r="E505" s="12" t="s">
        <v>1259</v>
      </c>
      <c r="F505" s="18" t="s">
        <v>1779</v>
      </c>
      <c r="G505" s="8">
        <v>6</v>
      </c>
      <c r="H505" s="8"/>
      <c r="I505" s="8">
        <v>1</v>
      </c>
      <c r="J505" s="8"/>
      <c r="K505" s="8">
        <f>+G505+H505+-I505</f>
        <v>5</v>
      </c>
      <c r="L505" s="8">
        <v>3</v>
      </c>
      <c r="M505" s="9">
        <v>1495</v>
      </c>
      <c r="N505" s="9">
        <f>+K505*M505</f>
        <v>7475</v>
      </c>
      <c r="O505" s="9"/>
      <c r="P505" s="9"/>
      <c r="Q505" s="10" t="s">
        <v>433</v>
      </c>
    </row>
    <row r="506" spans="1:17" s="11" customFormat="1" ht="40.5" x14ac:dyDescent="0.3">
      <c r="A506" s="18" t="s">
        <v>1020</v>
      </c>
      <c r="B506" s="23">
        <v>45784</v>
      </c>
      <c r="C506" s="8"/>
      <c r="D506" s="25" t="s">
        <v>2384</v>
      </c>
      <c r="E506" s="12" t="s">
        <v>2099</v>
      </c>
      <c r="F506" s="18" t="s">
        <v>1779</v>
      </c>
      <c r="G506" s="8"/>
      <c r="H506" s="8">
        <v>3</v>
      </c>
      <c r="I506" s="8">
        <v>3</v>
      </c>
      <c r="J506" s="8"/>
      <c r="K506" s="8">
        <f t="shared" ref="K506:K512" si="47">+G506+H506-I506+J506</f>
        <v>0</v>
      </c>
      <c r="L506" s="8"/>
      <c r="M506" s="9">
        <v>284</v>
      </c>
      <c r="N506" s="9">
        <f>+K506*M506</f>
        <v>0</v>
      </c>
      <c r="O506" s="9"/>
      <c r="P506" s="9"/>
      <c r="Q506" s="10" t="s">
        <v>2116</v>
      </c>
    </row>
    <row r="507" spans="1:17" s="11" customFormat="1" ht="20.25" x14ac:dyDescent="0.3">
      <c r="A507" s="18" t="s">
        <v>1021</v>
      </c>
      <c r="B507" s="19">
        <v>45828</v>
      </c>
      <c r="C507" s="20"/>
      <c r="D507" s="53" t="s">
        <v>2468</v>
      </c>
      <c r="E507" s="12" t="s">
        <v>2205</v>
      </c>
      <c r="F507" s="21" t="s">
        <v>1779</v>
      </c>
      <c r="G507" s="8"/>
      <c r="H507" s="8">
        <v>4</v>
      </c>
      <c r="I507" s="8">
        <v>4</v>
      </c>
      <c r="J507" s="8"/>
      <c r="K507" s="8">
        <f t="shared" si="47"/>
        <v>0</v>
      </c>
      <c r="L507" s="8"/>
      <c r="M507" s="9">
        <v>1555</v>
      </c>
      <c r="N507" s="9"/>
      <c r="O507" s="9"/>
      <c r="P507" s="9"/>
      <c r="Q507" s="10" t="s">
        <v>520</v>
      </c>
    </row>
    <row r="508" spans="1:17" s="11" customFormat="1" ht="20.25" x14ac:dyDescent="0.3">
      <c r="A508" s="18" t="s">
        <v>1022</v>
      </c>
      <c r="B508" s="19">
        <v>45828</v>
      </c>
      <c r="C508" s="20"/>
      <c r="D508" s="53" t="s">
        <v>2468</v>
      </c>
      <c r="E508" s="12" t="s">
        <v>2206</v>
      </c>
      <c r="F508" s="21" t="s">
        <v>1779</v>
      </c>
      <c r="G508" s="8"/>
      <c r="H508" s="8">
        <v>4</v>
      </c>
      <c r="I508" s="8">
        <v>4</v>
      </c>
      <c r="J508" s="8"/>
      <c r="K508" s="8">
        <f t="shared" si="47"/>
        <v>0</v>
      </c>
      <c r="L508" s="8"/>
      <c r="M508" s="9">
        <v>1555</v>
      </c>
      <c r="N508" s="9"/>
      <c r="O508" s="9"/>
      <c r="P508" s="9"/>
      <c r="Q508" s="10" t="s">
        <v>520</v>
      </c>
    </row>
    <row r="509" spans="1:17" s="11" customFormat="1" ht="20.25" x14ac:dyDescent="0.3">
      <c r="A509" s="18" t="s">
        <v>1023</v>
      </c>
      <c r="B509" s="19">
        <v>45828</v>
      </c>
      <c r="C509" s="20"/>
      <c r="D509" s="53" t="s">
        <v>2468</v>
      </c>
      <c r="E509" s="12" t="s">
        <v>2207</v>
      </c>
      <c r="F509" s="21" t="s">
        <v>1779</v>
      </c>
      <c r="G509" s="8"/>
      <c r="H509" s="8">
        <v>2</v>
      </c>
      <c r="I509" s="8">
        <v>2</v>
      </c>
      <c r="J509" s="8"/>
      <c r="K509" s="8">
        <f t="shared" si="47"/>
        <v>0</v>
      </c>
      <c r="L509" s="8"/>
      <c r="M509" s="9">
        <v>1555</v>
      </c>
      <c r="N509" s="9"/>
      <c r="O509" s="9"/>
      <c r="P509" s="9"/>
      <c r="Q509" s="10" t="s">
        <v>520</v>
      </c>
    </row>
    <row r="510" spans="1:17" s="11" customFormat="1" ht="20.25" x14ac:dyDescent="0.3">
      <c r="A510" s="18" t="s">
        <v>1024</v>
      </c>
      <c r="B510" s="19">
        <v>45828</v>
      </c>
      <c r="C510" s="20"/>
      <c r="D510" s="53" t="s">
        <v>2468</v>
      </c>
      <c r="E510" s="12" t="s">
        <v>2204</v>
      </c>
      <c r="F510" s="21" t="s">
        <v>1779</v>
      </c>
      <c r="G510" s="8"/>
      <c r="H510" s="8">
        <v>5</v>
      </c>
      <c r="I510" s="8">
        <v>5</v>
      </c>
      <c r="J510" s="8"/>
      <c r="K510" s="8">
        <f t="shared" si="47"/>
        <v>0</v>
      </c>
      <c r="L510" s="8"/>
      <c r="M510" s="9">
        <v>1555</v>
      </c>
      <c r="N510" s="9"/>
      <c r="O510" s="9"/>
      <c r="P510" s="9"/>
      <c r="Q510" s="10" t="s">
        <v>520</v>
      </c>
    </row>
    <row r="511" spans="1:17" s="11" customFormat="1" ht="20.25" x14ac:dyDescent="0.3">
      <c r="A511" s="18" t="s">
        <v>1025</v>
      </c>
      <c r="B511" s="23"/>
      <c r="C511" s="8"/>
      <c r="D511" s="25"/>
      <c r="E511" s="12" t="s">
        <v>1433</v>
      </c>
      <c r="F511" s="18" t="s">
        <v>1779</v>
      </c>
      <c r="G511" s="8"/>
      <c r="H511" s="8">
        <v>3</v>
      </c>
      <c r="I511" s="8"/>
      <c r="J511" s="8"/>
      <c r="K511" s="8">
        <f t="shared" si="47"/>
        <v>3</v>
      </c>
      <c r="L511" s="8"/>
      <c r="M511" s="9">
        <v>174.64</v>
      </c>
      <c r="N511" s="9">
        <f t="shared" ref="N511:N531" si="48">+K511*M511</f>
        <v>523.91999999999996</v>
      </c>
      <c r="O511" s="9"/>
      <c r="P511" s="9"/>
      <c r="Q511" s="10" t="s">
        <v>1479</v>
      </c>
    </row>
    <row r="512" spans="1:17" s="11" customFormat="1" ht="20.25" x14ac:dyDescent="0.3">
      <c r="A512" s="18" t="s">
        <v>1026</v>
      </c>
      <c r="B512" s="19">
        <v>45814</v>
      </c>
      <c r="C512" s="20">
        <v>30</v>
      </c>
      <c r="D512" s="53" t="s">
        <v>2320</v>
      </c>
      <c r="E512" s="12" t="s">
        <v>2184</v>
      </c>
      <c r="F512" s="18" t="s">
        <v>1779</v>
      </c>
      <c r="G512" s="8"/>
      <c r="H512" s="8">
        <v>60</v>
      </c>
      <c r="I512" s="8">
        <f>6+11</f>
        <v>17</v>
      </c>
      <c r="J512" s="8"/>
      <c r="K512" s="8">
        <f t="shared" si="47"/>
        <v>43</v>
      </c>
      <c r="L512" s="8"/>
      <c r="M512" s="9">
        <v>81.42</v>
      </c>
      <c r="N512" s="9">
        <f t="shared" si="48"/>
        <v>3501.06</v>
      </c>
      <c r="O512" s="9"/>
      <c r="P512" s="9"/>
      <c r="Q512" s="10"/>
    </row>
    <row r="513" spans="1:17" s="11" customFormat="1" ht="40.5" x14ac:dyDescent="0.3">
      <c r="A513" s="18" t="s">
        <v>1027</v>
      </c>
      <c r="B513" s="23"/>
      <c r="C513" s="8"/>
      <c r="D513" s="25" t="s">
        <v>2384</v>
      </c>
      <c r="E513" s="12" t="s">
        <v>1560</v>
      </c>
      <c r="F513" s="18" t="s">
        <v>1779</v>
      </c>
      <c r="G513" s="8">
        <f>6-1</f>
        <v>5</v>
      </c>
      <c r="H513" s="8">
        <v>20</v>
      </c>
      <c r="I513" s="8">
        <f>2+1+1+1+1+1+5+2+4+5+2</f>
        <v>25</v>
      </c>
      <c r="J513" s="8"/>
      <c r="K513" s="8">
        <f>+G513+H513+-I513</f>
        <v>0</v>
      </c>
      <c r="L513" s="8"/>
      <c r="M513" s="9">
        <v>37.76</v>
      </c>
      <c r="N513" s="9">
        <f t="shared" si="48"/>
        <v>0</v>
      </c>
      <c r="O513" s="9"/>
      <c r="P513" s="9"/>
      <c r="Q513" s="10" t="s">
        <v>235</v>
      </c>
    </row>
    <row r="514" spans="1:17" s="11" customFormat="1" ht="40.5" x14ac:dyDescent="0.3">
      <c r="A514" s="18" t="s">
        <v>1028</v>
      </c>
      <c r="B514" s="23"/>
      <c r="C514" s="8"/>
      <c r="D514" s="25" t="s">
        <v>2384</v>
      </c>
      <c r="E514" s="12" t="s">
        <v>1638</v>
      </c>
      <c r="F514" s="18" t="s">
        <v>1779</v>
      </c>
      <c r="G514" s="8">
        <v>3</v>
      </c>
      <c r="H514" s="8">
        <v>0</v>
      </c>
      <c r="I514" s="8">
        <f>2+1</f>
        <v>3</v>
      </c>
      <c r="J514" s="8"/>
      <c r="K514" s="8">
        <f>+G514+H514-I514</f>
        <v>0</v>
      </c>
      <c r="L514" s="8"/>
      <c r="M514" s="9">
        <v>90</v>
      </c>
      <c r="N514" s="9">
        <f t="shared" si="48"/>
        <v>0</v>
      </c>
      <c r="O514" s="9"/>
      <c r="P514" s="9"/>
      <c r="Q514" s="10" t="s">
        <v>235</v>
      </c>
    </row>
    <row r="515" spans="1:17" s="11" customFormat="1" ht="40.5" x14ac:dyDescent="0.3">
      <c r="A515" s="18" t="s">
        <v>1029</v>
      </c>
      <c r="B515" s="23"/>
      <c r="C515" s="8"/>
      <c r="D515" s="25" t="s">
        <v>2384</v>
      </c>
      <c r="E515" s="12" t="s">
        <v>1561</v>
      </c>
      <c r="F515" s="18" t="s">
        <v>1779</v>
      </c>
      <c r="G515" s="8">
        <v>3</v>
      </c>
      <c r="H515" s="8">
        <v>20</v>
      </c>
      <c r="I515" s="8">
        <f>3+2+1+1+1+3+3+5+4</f>
        <v>23</v>
      </c>
      <c r="J515" s="8"/>
      <c r="K515" s="8">
        <f>+G515+H515+-I515</f>
        <v>0</v>
      </c>
      <c r="L515" s="8"/>
      <c r="M515" s="9">
        <v>37.76</v>
      </c>
      <c r="N515" s="9">
        <f t="shared" si="48"/>
        <v>0</v>
      </c>
      <c r="O515" s="9"/>
      <c r="P515" s="9"/>
      <c r="Q515" s="10" t="s">
        <v>235</v>
      </c>
    </row>
    <row r="516" spans="1:17" s="11" customFormat="1" ht="40.5" x14ac:dyDescent="0.3">
      <c r="A516" s="18" t="s">
        <v>1030</v>
      </c>
      <c r="B516" s="23"/>
      <c r="C516" s="8"/>
      <c r="D516" s="12" t="s">
        <v>2384</v>
      </c>
      <c r="E516" s="12" t="s">
        <v>1562</v>
      </c>
      <c r="F516" s="18" t="s">
        <v>1779</v>
      </c>
      <c r="G516" s="8">
        <v>0</v>
      </c>
      <c r="H516" s="8">
        <v>20</v>
      </c>
      <c r="I516" s="8">
        <f>5+1+10+3+1</f>
        <v>20</v>
      </c>
      <c r="J516" s="8"/>
      <c r="K516" s="8">
        <f>+G516+H516+-I516</f>
        <v>0</v>
      </c>
      <c r="L516" s="8"/>
      <c r="M516" s="9">
        <v>32</v>
      </c>
      <c r="N516" s="9">
        <f t="shared" si="48"/>
        <v>0</v>
      </c>
      <c r="O516" s="9"/>
      <c r="P516" s="9"/>
      <c r="Q516" s="10" t="s">
        <v>235</v>
      </c>
    </row>
    <row r="517" spans="1:17" s="11" customFormat="1" ht="40.5" x14ac:dyDescent="0.3">
      <c r="A517" s="18" t="s">
        <v>1031</v>
      </c>
      <c r="B517" s="23"/>
      <c r="C517" s="8"/>
      <c r="D517" s="12" t="s">
        <v>2320</v>
      </c>
      <c r="E517" s="12" t="s">
        <v>1315</v>
      </c>
      <c r="F517" s="18" t="s">
        <v>1779</v>
      </c>
      <c r="G517" s="8"/>
      <c r="H517" s="8">
        <v>2</v>
      </c>
      <c r="I517" s="8"/>
      <c r="J517" s="8">
        <f>2+2+2</f>
        <v>6</v>
      </c>
      <c r="K517" s="8">
        <f>+G517+H517-I517+J517</f>
        <v>8</v>
      </c>
      <c r="L517" s="8"/>
      <c r="M517" s="9">
        <v>147.74</v>
      </c>
      <c r="N517" s="9">
        <f t="shared" si="48"/>
        <v>1181.92</v>
      </c>
      <c r="O517" s="9"/>
      <c r="P517" s="9"/>
      <c r="Q517" s="10" t="s">
        <v>1314</v>
      </c>
    </row>
    <row r="518" spans="1:17" s="11" customFormat="1" ht="40.5" x14ac:dyDescent="0.3">
      <c r="A518" s="18" t="s">
        <v>1032</v>
      </c>
      <c r="B518" s="23"/>
      <c r="C518" s="8"/>
      <c r="D518" s="12" t="s">
        <v>2320</v>
      </c>
      <c r="E518" s="12" t="s">
        <v>1279</v>
      </c>
      <c r="F518" s="18" t="s">
        <v>1779</v>
      </c>
      <c r="G518" s="8"/>
      <c r="H518" s="8">
        <v>30</v>
      </c>
      <c r="I518" s="8">
        <f>8+4+5+2+10</f>
        <v>29</v>
      </c>
      <c r="J518" s="8"/>
      <c r="K518" s="8">
        <f>+G518+H518-I518+J518</f>
        <v>1</v>
      </c>
      <c r="L518" s="8"/>
      <c r="M518" s="9">
        <v>348.1</v>
      </c>
      <c r="N518" s="9">
        <f t="shared" si="48"/>
        <v>348.1</v>
      </c>
      <c r="O518" s="9"/>
      <c r="P518" s="9"/>
      <c r="Q518" s="10" t="s">
        <v>1277</v>
      </c>
    </row>
    <row r="519" spans="1:17" s="11" customFormat="1" ht="39.950000000000003" customHeight="1" x14ac:dyDescent="0.3">
      <c r="A519" s="18" t="s">
        <v>1033</v>
      </c>
      <c r="B519" s="23" t="s">
        <v>257</v>
      </c>
      <c r="C519" s="8"/>
      <c r="D519" s="12" t="s">
        <v>2320</v>
      </c>
      <c r="E519" s="12" t="s">
        <v>142</v>
      </c>
      <c r="F519" s="8" t="s">
        <v>1779</v>
      </c>
      <c r="G519" s="8">
        <v>25</v>
      </c>
      <c r="H519" s="8"/>
      <c r="I519" s="8">
        <f>12+2+3+2+3+3</f>
        <v>25</v>
      </c>
      <c r="J519" s="8"/>
      <c r="K519" s="9">
        <f>+G519+H519-I519</f>
        <v>0</v>
      </c>
      <c r="L519" s="9">
        <v>0</v>
      </c>
      <c r="M519" s="9">
        <v>224.2</v>
      </c>
      <c r="N519" s="9">
        <f t="shared" si="48"/>
        <v>0</v>
      </c>
      <c r="O519" s="10"/>
      <c r="P519" s="56"/>
      <c r="Q519" s="56" t="s">
        <v>140</v>
      </c>
    </row>
    <row r="520" spans="1:17" s="11" customFormat="1" ht="39.950000000000003" customHeight="1" x14ac:dyDescent="0.3">
      <c r="A520" s="18" t="s">
        <v>1034</v>
      </c>
      <c r="B520" s="23" t="s">
        <v>257</v>
      </c>
      <c r="C520" s="8"/>
      <c r="D520" s="25" t="s">
        <v>2440</v>
      </c>
      <c r="E520" s="12" t="s">
        <v>150</v>
      </c>
      <c r="F520" s="18" t="s">
        <v>1779</v>
      </c>
      <c r="G520" s="8">
        <f>6-2-1</f>
        <v>3</v>
      </c>
      <c r="H520" s="8"/>
      <c r="I520" s="8"/>
      <c r="J520" s="8"/>
      <c r="K520" s="8">
        <f>+G520+H520-I520</f>
        <v>3</v>
      </c>
      <c r="L520" s="8"/>
      <c r="M520" s="9">
        <v>236</v>
      </c>
      <c r="N520" s="9">
        <f t="shared" si="48"/>
        <v>708</v>
      </c>
      <c r="O520" s="9"/>
      <c r="P520" s="9"/>
      <c r="Q520" s="10" t="s">
        <v>140</v>
      </c>
    </row>
    <row r="521" spans="1:17" s="11" customFormat="1" ht="39.950000000000003" customHeight="1" x14ac:dyDescent="0.3">
      <c r="A521" s="18" t="s">
        <v>1035</v>
      </c>
      <c r="B521" s="23">
        <v>45784</v>
      </c>
      <c r="C521" s="8"/>
      <c r="D521" s="25" t="s">
        <v>2440</v>
      </c>
      <c r="E521" s="12" t="s">
        <v>2100</v>
      </c>
      <c r="F521" s="18" t="s">
        <v>1779</v>
      </c>
      <c r="G521" s="8"/>
      <c r="H521" s="8">
        <v>4</v>
      </c>
      <c r="I521" s="8">
        <v>4</v>
      </c>
      <c r="J521" s="8"/>
      <c r="K521" s="8">
        <f>+G521+H521-I521+J521</f>
        <v>0</v>
      </c>
      <c r="L521" s="8"/>
      <c r="M521" s="9">
        <v>94</v>
      </c>
      <c r="N521" s="9">
        <f t="shared" si="48"/>
        <v>0</v>
      </c>
      <c r="O521" s="9"/>
      <c r="P521" s="9"/>
      <c r="Q521" s="10" t="s">
        <v>2116</v>
      </c>
    </row>
    <row r="522" spans="1:17" s="11" customFormat="1" ht="39.950000000000003" customHeight="1" x14ac:dyDescent="0.3">
      <c r="A522" s="18" t="s">
        <v>1036</v>
      </c>
      <c r="B522" s="23"/>
      <c r="C522" s="8"/>
      <c r="D522" s="25" t="s">
        <v>2440</v>
      </c>
      <c r="E522" s="12" t="s">
        <v>149</v>
      </c>
      <c r="F522" s="18" t="s">
        <v>1779</v>
      </c>
      <c r="G522" s="8">
        <v>2</v>
      </c>
      <c r="H522" s="8"/>
      <c r="I522" s="8">
        <v>2</v>
      </c>
      <c r="J522" s="8"/>
      <c r="K522" s="8">
        <f>+G522+H522-I522</f>
        <v>0</v>
      </c>
      <c r="L522" s="8"/>
      <c r="M522" s="9">
        <v>236</v>
      </c>
      <c r="N522" s="9">
        <f t="shared" si="48"/>
        <v>0</v>
      </c>
      <c r="O522" s="9"/>
      <c r="P522" s="9"/>
      <c r="Q522" s="10" t="s">
        <v>140</v>
      </c>
    </row>
    <row r="523" spans="1:17" s="11" customFormat="1" ht="39.950000000000003" customHeight="1" x14ac:dyDescent="0.3">
      <c r="A523" s="18" t="s">
        <v>1037</v>
      </c>
      <c r="B523" s="23" t="s">
        <v>257</v>
      </c>
      <c r="C523" s="8"/>
      <c r="D523" s="25" t="s">
        <v>2440</v>
      </c>
      <c r="E523" s="12" t="s">
        <v>151</v>
      </c>
      <c r="F523" s="18" t="s">
        <v>1779</v>
      </c>
      <c r="G523" s="8">
        <v>1</v>
      </c>
      <c r="H523" s="8"/>
      <c r="I523" s="8"/>
      <c r="J523" s="8"/>
      <c r="K523" s="8">
        <f>+G523+H523-I523</f>
        <v>1</v>
      </c>
      <c r="L523" s="8"/>
      <c r="M523" s="9">
        <v>236</v>
      </c>
      <c r="N523" s="9">
        <f t="shared" si="48"/>
        <v>236</v>
      </c>
      <c r="O523" s="9"/>
      <c r="P523" s="9"/>
      <c r="Q523" s="10" t="s">
        <v>140</v>
      </c>
    </row>
    <row r="524" spans="1:17" s="11" customFormat="1" ht="39.950000000000003" customHeight="1" x14ac:dyDescent="0.3">
      <c r="A524" s="18" t="s">
        <v>1038</v>
      </c>
      <c r="B524" s="23"/>
      <c r="C524" s="8"/>
      <c r="D524" s="25" t="s">
        <v>2440</v>
      </c>
      <c r="E524" s="12" t="s">
        <v>152</v>
      </c>
      <c r="F524" s="18" t="s">
        <v>1779</v>
      </c>
      <c r="G524" s="8">
        <v>3</v>
      </c>
      <c r="H524" s="8"/>
      <c r="I524" s="8">
        <v>1</v>
      </c>
      <c r="J524" s="8"/>
      <c r="K524" s="8">
        <f>+G524+H524-I524</f>
        <v>2</v>
      </c>
      <c r="L524" s="8"/>
      <c r="M524" s="9">
        <v>236</v>
      </c>
      <c r="N524" s="9">
        <f t="shared" si="48"/>
        <v>472</v>
      </c>
      <c r="O524" s="9"/>
      <c r="P524" s="9"/>
      <c r="Q524" s="10" t="s">
        <v>140</v>
      </c>
    </row>
    <row r="525" spans="1:17" s="11" customFormat="1" ht="39.950000000000003" customHeight="1" x14ac:dyDescent="0.3">
      <c r="A525" s="18" t="s">
        <v>1039</v>
      </c>
      <c r="B525" s="23"/>
      <c r="C525" s="8"/>
      <c r="D525" s="25" t="s">
        <v>2440</v>
      </c>
      <c r="E525" s="12" t="s">
        <v>153</v>
      </c>
      <c r="F525" s="18" t="s">
        <v>1779</v>
      </c>
      <c r="G525" s="8">
        <f>4-1</f>
        <v>3</v>
      </c>
      <c r="H525" s="8"/>
      <c r="I525" s="8">
        <f>1+1+1</f>
        <v>3</v>
      </c>
      <c r="J525" s="8"/>
      <c r="K525" s="8">
        <f>+G525+H525-I525</f>
        <v>0</v>
      </c>
      <c r="L525" s="8"/>
      <c r="M525" s="9">
        <v>236</v>
      </c>
      <c r="N525" s="9">
        <f t="shared" si="48"/>
        <v>0</v>
      </c>
      <c r="O525" s="9"/>
      <c r="P525" s="9"/>
      <c r="Q525" s="10" t="s">
        <v>140</v>
      </c>
    </row>
    <row r="526" spans="1:17" s="11" customFormat="1" ht="39.950000000000003" customHeight="1" x14ac:dyDescent="0.3">
      <c r="A526" s="18" t="s">
        <v>1040</v>
      </c>
      <c r="B526" s="23">
        <v>45469</v>
      </c>
      <c r="C526" s="8"/>
      <c r="D526" s="25" t="s">
        <v>2440</v>
      </c>
      <c r="E526" s="12" t="s">
        <v>1558</v>
      </c>
      <c r="F526" s="18" t="s">
        <v>1779</v>
      </c>
      <c r="G526" s="8">
        <v>60</v>
      </c>
      <c r="H526" s="8"/>
      <c r="I526" s="8">
        <f>2+1+2+1+1+1+1+2+2</f>
        <v>13</v>
      </c>
      <c r="J526" s="8"/>
      <c r="K526" s="8">
        <f>+G526+H526-I526</f>
        <v>47</v>
      </c>
      <c r="L526" s="8"/>
      <c r="M526" s="9">
        <v>236</v>
      </c>
      <c r="N526" s="9">
        <f t="shared" si="48"/>
        <v>11092</v>
      </c>
      <c r="O526" s="9"/>
      <c r="P526" s="9"/>
      <c r="Q526" s="10" t="s">
        <v>140</v>
      </c>
    </row>
    <row r="527" spans="1:17" s="11" customFormat="1" ht="39.950000000000003" customHeight="1" x14ac:dyDescent="0.3">
      <c r="A527" s="18" t="s">
        <v>1041</v>
      </c>
      <c r="B527" s="19" t="s">
        <v>2303</v>
      </c>
      <c r="C527" s="20"/>
      <c r="D527" s="53" t="s">
        <v>2468</v>
      </c>
      <c r="E527" s="12" t="s">
        <v>2304</v>
      </c>
      <c r="F527" s="21" t="s">
        <v>1779</v>
      </c>
      <c r="G527" s="8"/>
      <c r="H527" s="8">
        <v>15</v>
      </c>
      <c r="I527" s="8"/>
      <c r="J527" s="8"/>
      <c r="K527" s="8">
        <f>+G527+H527-I527+J527</f>
        <v>15</v>
      </c>
      <c r="L527" s="8"/>
      <c r="M527" s="9">
        <v>177</v>
      </c>
      <c r="N527" s="9">
        <f t="shared" si="48"/>
        <v>2655</v>
      </c>
      <c r="O527" s="9"/>
      <c r="P527" s="9"/>
      <c r="Q527" s="10" t="s">
        <v>1887</v>
      </c>
    </row>
    <row r="528" spans="1:17" s="11" customFormat="1" ht="39.950000000000003" customHeight="1" x14ac:dyDescent="0.3">
      <c r="A528" s="18" t="s">
        <v>1042</v>
      </c>
      <c r="B528" s="23" t="s">
        <v>4</v>
      </c>
      <c r="C528" s="8"/>
      <c r="D528" s="25" t="s">
        <v>2440</v>
      </c>
      <c r="E528" s="12" t="s">
        <v>154</v>
      </c>
      <c r="F528" s="18" t="s">
        <v>1779</v>
      </c>
      <c r="G528" s="8">
        <v>60</v>
      </c>
      <c r="H528" s="8"/>
      <c r="I528" s="8">
        <f>1+1+3+1+1</f>
        <v>7</v>
      </c>
      <c r="J528" s="8"/>
      <c r="K528" s="8">
        <f>+G528+H528-I528</f>
        <v>53</v>
      </c>
      <c r="L528" s="8"/>
      <c r="M528" s="9">
        <v>236</v>
      </c>
      <c r="N528" s="9">
        <f t="shared" si="48"/>
        <v>12508</v>
      </c>
      <c r="O528" s="9"/>
      <c r="P528" s="9"/>
      <c r="Q528" s="10" t="s">
        <v>140</v>
      </c>
    </row>
    <row r="529" spans="1:17" s="11" customFormat="1" ht="39.950000000000003" customHeight="1" x14ac:dyDescent="0.3">
      <c r="A529" s="18" t="s">
        <v>1043</v>
      </c>
      <c r="B529" s="23">
        <v>44193</v>
      </c>
      <c r="C529" s="8"/>
      <c r="D529" s="25" t="s">
        <v>2440</v>
      </c>
      <c r="E529" s="12" t="s">
        <v>155</v>
      </c>
      <c r="F529" s="18" t="s">
        <v>1779</v>
      </c>
      <c r="G529" s="8">
        <v>56</v>
      </c>
      <c r="H529" s="8"/>
      <c r="I529" s="8">
        <f>1+1+1+3+1</f>
        <v>7</v>
      </c>
      <c r="J529" s="8"/>
      <c r="K529" s="8">
        <f>+G529+H529+-I529</f>
        <v>49</v>
      </c>
      <c r="L529" s="8"/>
      <c r="M529" s="9">
        <v>236</v>
      </c>
      <c r="N529" s="9">
        <f t="shared" si="48"/>
        <v>11564</v>
      </c>
      <c r="O529" s="9"/>
      <c r="P529" s="54"/>
      <c r="Q529" s="55" t="s">
        <v>140</v>
      </c>
    </row>
    <row r="530" spans="1:17" s="11" customFormat="1" ht="39.950000000000003" customHeight="1" x14ac:dyDescent="0.3">
      <c r="A530" s="18" t="s">
        <v>1044</v>
      </c>
      <c r="B530" s="23" t="s">
        <v>257</v>
      </c>
      <c r="C530" s="8"/>
      <c r="D530" s="12" t="s">
        <v>2320</v>
      </c>
      <c r="E530" s="12" t="s">
        <v>1573</v>
      </c>
      <c r="F530" s="18" t="s">
        <v>1779</v>
      </c>
      <c r="G530" s="8">
        <v>12</v>
      </c>
      <c r="H530" s="8"/>
      <c r="I530" s="8">
        <f>1+2+3+1+5</f>
        <v>12</v>
      </c>
      <c r="J530" s="8"/>
      <c r="K530" s="8">
        <f>+G530+H530-I530</f>
        <v>0</v>
      </c>
      <c r="L530" s="8"/>
      <c r="M530" s="9">
        <v>224.2</v>
      </c>
      <c r="N530" s="54">
        <f t="shared" si="48"/>
        <v>0</v>
      </c>
      <c r="O530" s="54"/>
      <c r="P530" s="54"/>
      <c r="Q530" s="55" t="s">
        <v>140</v>
      </c>
    </row>
    <row r="531" spans="1:17" s="11" customFormat="1" ht="39.950000000000003" customHeight="1" x14ac:dyDescent="0.3">
      <c r="A531" s="18" t="s">
        <v>1045</v>
      </c>
      <c r="B531" s="23" t="s">
        <v>1723</v>
      </c>
      <c r="C531" s="8">
        <v>10</v>
      </c>
      <c r="D531" s="12" t="s">
        <v>2389</v>
      </c>
      <c r="E531" s="12" t="s">
        <v>1724</v>
      </c>
      <c r="F531" s="18" t="s">
        <v>1779</v>
      </c>
      <c r="G531" s="8"/>
      <c r="H531" s="8">
        <v>15</v>
      </c>
      <c r="I531" s="8">
        <f>3+3+2+2+5</f>
        <v>15</v>
      </c>
      <c r="J531" s="8"/>
      <c r="K531" s="8">
        <f>+G531+H531+-I531</f>
        <v>0</v>
      </c>
      <c r="L531" s="8"/>
      <c r="M531" s="9">
        <v>425</v>
      </c>
      <c r="N531" s="9">
        <f t="shared" si="48"/>
        <v>0</v>
      </c>
      <c r="O531" s="9"/>
      <c r="P531" s="9"/>
      <c r="Q531" s="10" t="s">
        <v>18</v>
      </c>
    </row>
    <row r="532" spans="1:17" s="11" customFormat="1" ht="39.950000000000003" customHeight="1" x14ac:dyDescent="0.3">
      <c r="A532" s="18" t="s">
        <v>1046</v>
      </c>
      <c r="B532" s="23"/>
      <c r="C532" s="8"/>
      <c r="D532" s="12" t="s">
        <v>2460</v>
      </c>
      <c r="E532" s="12" t="s">
        <v>1675</v>
      </c>
      <c r="F532" s="18" t="s">
        <v>1780</v>
      </c>
      <c r="G532" s="8">
        <v>26</v>
      </c>
      <c r="H532" s="8"/>
      <c r="I532" s="8">
        <v>2</v>
      </c>
      <c r="J532" s="8">
        <v>0</v>
      </c>
      <c r="K532" s="8">
        <f>+G532+H532-I532+J532</f>
        <v>24</v>
      </c>
      <c r="L532" s="8"/>
      <c r="M532" s="9">
        <v>790</v>
      </c>
      <c r="N532" s="9">
        <f>+L532*M532</f>
        <v>0</v>
      </c>
      <c r="O532" s="9"/>
      <c r="P532" s="9"/>
      <c r="Q532" s="10" t="s">
        <v>1887</v>
      </c>
    </row>
    <row r="533" spans="1:17" s="11" customFormat="1" ht="39.950000000000003" customHeight="1" x14ac:dyDescent="0.3">
      <c r="A533" s="18" t="s">
        <v>1047</v>
      </c>
      <c r="B533" s="19">
        <v>45813</v>
      </c>
      <c r="C533" s="20"/>
      <c r="D533" s="12" t="s">
        <v>2325</v>
      </c>
      <c r="E533" s="12" t="s">
        <v>2237</v>
      </c>
      <c r="F533" s="21" t="s">
        <v>1779</v>
      </c>
      <c r="G533" s="8"/>
      <c r="H533" s="8">
        <v>10</v>
      </c>
      <c r="I533" s="8">
        <v>2</v>
      </c>
      <c r="J533" s="8"/>
      <c r="K533" s="8">
        <f>+G533+H533-I533+J533</f>
        <v>8</v>
      </c>
      <c r="L533" s="8"/>
      <c r="M533" s="9">
        <v>407</v>
      </c>
      <c r="N533" s="9"/>
      <c r="O533" s="9"/>
      <c r="P533" s="9"/>
      <c r="Q533" s="10" t="s">
        <v>520</v>
      </c>
    </row>
    <row r="534" spans="1:17" s="11" customFormat="1" ht="39.950000000000003" customHeight="1" x14ac:dyDescent="0.3">
      <c r="A534" s="18" t="s">
        <v>1048</v>
      </c>
      <c r="B534" s="23">
        <v>45392</v>
      </c>
      <c r="C534" s="8"/>
      <c r="D534" s="12" t="s">
        <v>2460</v>
      </c>
      <c r="E534" s="12" t="s">
        <v>1689</v>
      </c>
      <c r="F534" s="18" t="s">
        <v>1779</v>
      </c>
      <c r="G534" s="8">
        <v>3</v>
      </c>
      <c r="H534" s="8"/>
      <c r="I534" s="8"/>
      <c r="J534" s="8">
        <v>0</v>
      </c>
      <c r="K534" s="8">
        <f>+G534+H534-I534+J534</f>
        <v>3</v>
      </c>
      <c r="L534" s="8"/>
      <c r="M534" s="9">
        <v>858</v>
      </c>
      <c r="N534" s="9">
        <v>2574</v>
      </c>
      <c r="O534" s="9"/>
      <c r="P534" s="9"/>
      <c r="Q534" s="10" t="s">
        <v>1887</v>
      </c>
    </row>
    <row r="535" spans="1:17" s="11" customFormat="1" ht="39.950000000000003" customHeight="1" x14ac:dyDescent="0.3">
      <c r="A535" s="18" t="s">
        <v>1049</v>
      </c>
      <c r="B535" s="19">
        <v>45814</v>
      </c>
      <c r="C535" s="20">
        <v>30</v>
      </c>
      <c r="D535" s="12" t="s">
        <v>2325</v>
      </c>
      <c r="E535" s="12" t="s">
        <v>2185</v>
      </c>
      <c r="F535" s="21" t="s">
        <v>2461</v>
      </c>
      <c r="G535" s="8"/>
      <c r="H535" s="8">
        <v>3</v>
      </c>
      <c r="I535" s="8"/>
      <c r="J535" s="8">
        <v>1</v>
      </c>
      <c r="K535" s="8">
        <f>+G535+H535-I535+J535</f>
        <v>4</v>
      </c>
      <c r="L535" s="8"/>
      <c r="M535" s="9">
        <v>1180</v>
      </c>
      <c r="N535" s="9">
        <f>+K535*M535</f>
        <v>4720</v>
      </c>
      <c r="O535" s="9"/>
      <c r="P535" s="9"/>
      <c r="Q535" s="10" t="s">
        <v>159</v>
      </c>
    </row>
    <row r="536" spans="1:17" s="11" customFormat="1" ht="39.950000000000003" customHeight="1" x14ac:dyDescent="0.3">
      <c r="A536" s="18" t="s">
        <v>1050</v>
      </c>
      <c r="B536" s="23"/>
      <c r="C536" s="8"/>
      <c r="D536" s="12" t="s">
        <v>2325</v>
      </c>
      <c r="E536" s="12" t="s">
        <v>1184</v>
      </c>
      <c r="F536" s="18" t="s">
        <v>1779</v>
      </c>
      <c r="G536" s="8">
        <v>4</v>
      </c>
      <c r="H536" s="8">
        <v>0</v>
      </c>
      <c r="I536" s="8"/>
      <c r="J536" s="8"/>
      <c r="K536" s="8">
        <f>+G536+H536+-I536</f>
        <v>4</v>
      </c>
      <c r="L536" s="8"/>
      <c r="M536" s="9">
        <v>1075.6400000000001</v>
      </c>
      <c r="N536" s="9">
        <f>+K536*M536</f>
        <v>4302.5600000000004</v>
      </c>
      <c r="O536" s="9"/>
      <c r="P536" s="9"/>
      <c r="Q536" s="10" t="s">
        <v>159</v>
      </c>
    </row>
    <row r="537" spans="1:17" s="11" customFormat="1" ht="39.950000000000003" customHeight="1" x14ac:dyDescent="0.3">
      <c r="A537" s="18" t="s">
        <v>1051</v>
      </c>
      <c r="B537" s="23" t="s">
        <v>1723</v>
      </c>
      <c r="C537" s="8"/>
      <c r="D537" s="12" t="s">
        <v>2389</v>
      </c>
      <c r="E537" s="12" t="s">
        <v>1733</v>
      </c>
      <c r="F537" s="18" t="s">
        <v>1779</v>
      </c>
      <c r="G537" s="8"/>
      <c r="H537" s="8">
        <v>6</v>
      </c>
      <c r="I537" s="8">
        <f>1+1+1+1+2</f>
        <v>6</v>
      </c>
      <c r="J537" s="8"/>
      <c r="K537" s="8">
        <f>+G537+H537+-I537</f>
        <v>0</v>
      </c>
      <c r="L537" s="8"/>
      <c r="M537" s="9">
        <v>300</v>
      </c>
      <c r="N537" s="9">
        <f>+K537*M537</f>
        <v>0</v>
      </c>
      <c r="O537" s="9"/>
      <c r="P537" s="9"/>
      <c r="Q537" s="10" t="s">
        <v>18</v>
      </c>
    </row>
    <row r="538" spans="1:17" s="11" customFormat="1" ht="39.950000000000003" customHeight="1" x14ac:dyDescent="0.3">
      <c r="A538" s="18" t="s">
        <v>1052</v>
      </c>
      <c r="B538" s="19">
        <v>45814</v>
      </c>
      <c r="C538" s="20">
        <v>30</v>
      </c>
      <c r="D538" s="12" t="s">
        <v>2326</v>
      </c>
      <c r="E538" s="12" t="s">
        <v>2219</v>
      </c>
      <c r="F538" s="21" t="s">
        <v>1779</v>
      </c>
      <c r="G538" s="8"/>
      <c r="H538" s="8">
        <v>1</v>
      </c>
      <c r="I538" s="8"/>
      <c r="J538" s="8"/>
      <c r="K538" s="8">
        <f>+G538+H538-I538+J538</f>
        <v>1</v>
      </c>
      <c r="L538" s="8"/>
      <c r="M538" s="9">
        <v>6780</v>
      </c>
      <c r="N538" s="9"/>
      <c r="O538" s="9"/>
      <c r="P538" s="9"/>
      <c r="Q538" s="10" t="s">
        <v>1191</v>
      </c>
    </row>
    <row r="539" spans="1:17" s="11" customFormat="1" ht="39.950000000000003" customHeight="1" x14ac:dyDescent="0.3">
      <c r="A539" s="18" t="s">
        <v>1053</v>
      </c>
      <c r="B539" s="23">
        <v>45799</v>
      </c>
      <c r="C539" s="8"/>
      <c r="D539" s="12" t="s">
        <v>2321</v>
      </c>
      <c r="E539" s="12" t="s">
        <v>1862</v>
      </c>
      <c r="F539" s="18" t="s">
        <v>1779</v>
      </c>
      <c r="G539" s="8"/>
      <c r="H539" s="8">
        <v>40</v>
      </c>
      <c r="I539" s="8"/>
      <c r="J539" s="8"/>
      <c r="K539" s="8">
        <f>+G539+H539+-I539</f>
        <v>40</v>
      </c>
      <c r="L539" s="8">
        <v>40</v>
      </c>
      <c r="M539" s="9">
        <v>177</v>
      </c>
      <c r="N539" s="9">
        <f t="shared" ref="N539:N547" si="49">+K539*M539</f>
        <v>7080</v>
      </c>
      <c r="O539" s="9"/>
      <c r="P539" s="9"/>
      <c r="Q539" s="10" t="s">
        <v>433</v>
      </c>
    </row>
    <row r="540" spans="1:17" s="11" customFormat="1" ht="39.950000000000003" customHeight="1" x14ac:dyDescent="0.3">
      <c r="A540" s="18" t="s">
        <v>1054</v>
      </c>
      <c r="B540" s="23" t="s">
        <v>257</v>
      </c>
      <c r="C540" s="8"/>
      <c r="D540" s="25" t="s">
        <v>2385</v>
      </c>
      <c r="E540" s="12" t="s">
        <v>349</v>
      </c>
      <c r="F540" s="18" t="s">
        <v>1779</v>
      </c>
      <c r="G540" s="8">
        <v>2</v>
      </c>
      <c r="H540" s="8"/>
      <c r="I540" s="8"/>
      <c r="J540" s="8"/>
      <c r="K540" s="8">
        <f>+G540+H540+-I540</f>
        <v>2</v>
      </c>
      <c r="L540" s="8"/>
      <c r="M540" s="9">
        <v>1495</v>
      </c>
      <c r="N540" s="9">
        <f t="shared" si="49"/>
        <v>2990</v>
      </c>
      <c r="O540" s="9"/>
      <c r="P540" s="9"/>
      <c r="Q540" s="10" t="s">
        <v>297</v>
      </c>
    </row>
    <row r="541" spans="1:17" s="11" customFormat="1" ht="39.950000000000003" customHeight="1" x14ac:dyDescent="0.3">
      <c r="A541" s="18" t="s">
        <v>1055</v>
      </c>
      <c r="B541" s="23">
        <v>44852</v>
      </c>
      <c r="C541" s="8"/>
      <c r="D541" s="12" t="s">
        <v>2394</v>
      </c>
      <c r="E541" s="12" t="s">
        <v>75</v>
      </c>
      <c r="F541" s="18" t="s">
        <v>1779</v>
      </c>
      <c r="G541" s="8">
        <f>21+9+2</f>
        <v>32</v>
      </c>
      <c r="H541" s="8"/>
      <c r="I541" s="8">
        <v>1</v>
      </c>
      <c r="J541" s="8"/>
      <c r="K541" s="8">
        <f>+G541+H541-I541</f>
        <v>31</v>
      </c>
      <c r="L541" s="8"/>
      <c r="M541" s="9">
        <v>135</v>
      </c>
      <c r="N541" s="9">
        <f t="shared" si="49"/>
        <v>4185</v>
      </c>
      <c r="O541" s="9"/>
      <c r="P541" s="9"/>
      <c r="Q541" s="10" t="s">
        <v>25</v>
      </c>
    </row>
    <row r="542" spans="1:17" s="11" customFormat="1" ht="39.950000000000003" customHeight="1" x14ac:dyDescent="0.3">
      <c r="A542" s="18" t="s">
        <v>1056</v>
      </c>
      <c r="B542" s="23">
        <v>44852</v>
      </c>
      <c r="C542" s="8"/>
      <c r="D542" s="12" t="s">
        <v>2394</v>
      </c>
      <c r="E542" s="12" t="s">
        <v>1636</v>
      </c>
      <c r="F542" s="18" t="s">
        <v>1779</v>
      </c>
      <c r="G542" s="8">
        <v>20</v>
      </c>
      <c r="H542" s="8"/>
      <c r="I542" s="8">
        <f>2+1+1+1+1+1</f>
        <v>7</v>
      </c>
      <c r="J542" s="8"/>
      <c r="K542" s="8">
        <f>+G542+H542-I542</f>
        <v>13</v>
      </c>
      <c r="L542" s="8"/>
      <c r="M542" s="9">
        <v>129.80000000000001</v>
      </c>
      <c r="N542" s="9">
        <f t="shared" si="49"/>
        <v>1687.4</v>
      </c>
      <c r="O542" s="9"/>
      <c r="P542" s="9"/>
      <c r="Q542" s="10" t="s">
        <v>25</v>
      </c>
    </row>
    <row r="543" spans="1:17" s="11" customFormat="1" ht="39.950000000000003" customHeight="1" x14ac:dyDescent="0.3">
      <c r="A543" s="18" t="s">
        <v>1057</v>
      </c>
      <c r="B543" s="23">
        <v>44852</v>
      </c>
      <c r="C543" s="8"/>
      <c r="D543" s="12" t="s">
        <v>2394</v>
      </c>
      <c r="E543" s="12" t="s">
        <v>76</v>
      </c>
      <c r="F543" s="18" t="s">
        <v>1779</v>
      </c>
      <c r="G543" s="8">
        <v>1</v>
      </c>
      <c r="H543" s="8"/>
      <c r="I543" s="8"/>
      <c r="J543" s="8"/>
      <c r="K543" s="8">
        <f>+G543+H543-I543</f>
        <v>1</v>
      </c>
      <c r="L543" s="8"/>
      <c r="M543" s="9">
        <v>135</v>
      </c>
      <c r="N543" s="9">
        <f t="shared" si="49"/>
        <v>135</v>
      </c>
      <c r="O543" s="9"/>
      <c r="P543" s="9"/>
      <c r="Q543" s="10" t="s">
        <v>25</v>
      </c>
    </row>
    <row r="544" spans="1:17" s="11" customFormat="1" ht="39.950000000000003" customHeight="1" x14ac:dyDescent="0.3">
      <c r="A544" s="18" t="s">
        <v>1058</v>
      </c>
      <c r="B544" s="23">
        <v>44852</v>
      </c>
      <c r="C544" s="8"/>
      <c r="D544" s="12" t="s">
        <v>2394</v>
      </c>
      <c r="E544" s="12" t="s">
        <v>103</v>
      </c>
      <c r="F544" s="18" t="s">
        <v>1779</v>
      </c>
      <c r="G544" s="8">
        <v>21</v>
      </c>
      <c r="H544" s="8"/>
      <c r="I544" s="8">
        <v>1</v>
      </c>
      <c r="J544" s="8"/>
      <c r="K544" s="8">
        <f>+G544+H544-I544</f>
        <v>20</v>
      </c>
      <c r="L544" s="8"/>
      <c r="M544" s="9">
        <v>200.6</v>
      </c>
      <c r="N544" s="9">
        <f t="shared" si="49"/>
        <v>4012</v>
      </c>
      <c r="O544" s="9"/>
      <c r="P544" s="9"/>
      <c r="Q544" s="10" t="s">
        <v>25</v>
      </c>
    </row>
    <row r="545" spans="1:17" s="11" customFormat="1" ht="39.950000000000003" customHeight="1" x14ac:dyDescent="0.3">
      <c r="A545" s="18" t="s">
        <v>1059</v>
      </c>
      <c r="B545" s="23" t="s">
        <v>4</v>
      </c>
      <c r="C545" s="8"/>
      <c r="D545" s="12" t="s">
        <v>2394</v>
      </c>
      <c r="E545" s="12" t="s">
        <v>1340</v>
      </c>
      <c r="F545" s="18" t="s">
        <v>1779</v>
      </c>
      <c r="G545" s="8">
        <v>1</v>
      </c>
      <c r="H545" s="8"/>
      <c r="I545" s="8">
        <v>1</v>
      </c>
      <c r="J545" s="8"/>
      <c r="K545" s="8">
        <f>+G545+H545-I545+J545</f>
        <v>0</v>
      </c>
      <c r="L545" s="8"/>
      <c r="M545" s="9">
        <v>189</v>
      </c>
      <c r="N545" s="9">
        <f t="shared" si="49"/>
        <v>0</v>
      </c>
      <c r="O545" s="9"/>
      <c r="P545" s="9"/>
      <c r="Q545" s="10" t="s">
        <v>25</v>
      </c>
    </row>
    <row r="546" spans="1:17" s="11" customFormat="1" ht="39.950000000000003" customHeight="1" x14ac:dyDescent="0.3">
      <c r="A546" s="18" t="s">
        <v>1060</v>
      </c>
      <c r="B546" s="19" t="s">
        <v>2305</v>
      </c>
      <c r="C546" s="20">
        <v>30</v>
      </c>
      <c r="D546" s="12" t="s">
        <v>2394</v>
      </c>
      <c r="E546" s="12" t="s">
        <v>2313</v>
      </c>
      <c r="F546" s="18" t="s">
        <v>1779</v>
      </c>
      <c r="G546" s="8"/>
      <c r="H546" s="8">
        <v>18</v>
      </c>
      <c r="I546" s="8"/>
      <c r="J546" s="8"/>
      <c r="K546" s="8">
        <f>+G546+H546-I546+J546</f>
        <v>18</v>
      </c>
      <c r="L546" s="8"/>
      <c r="M546" s="9">
        <v>81.42</v>
      </c>
      <c r="N546" s="9">
        <f t="shared" si="49"/>
        <v>1465.56</v>
      </c>
      <c r="O546" s="9"/>
      <c r="P546" s="9"/>
      <c r="Q546" s="10" t="s">
        <v>25</v>
      </c>
    </row>
    <row r="547" spans="1:17" s="11" customFormat="1" ht="39.950000000000003" customHeight="1" x14ac:dyDescent="0.3">
      <c r="A547" s="18" t="s">
        <v>1061</v>
      </c>
      <c r="B547" s="19" t="s">
        <v>2305</v>
      </c>
      <c r="C547" s="20">
        <v>30</v>
      </c>
      <c r="D547" s="12" t="s">
        <v>2394</v>
      </c>
      <c r="E547" s="12" t="s">
        <v>2312</v>
      </c>
      <c r="F547" s="18" t="s">
        <v>1779</v>
      </c>
      <c r="G547" s="8"/>
      <c r="H547" s="8">
        <v>15</v>
      </c>
      <c r="I547" s="8"/>
      <c r="J547" s="8"/>
      <c r="K547" s="8">
        <f>+G547+H547-I547+J547</f>
        <v>15</v>
      </c>
      <c r="L547" s="8"/>
      <c r="M547" s="9">
        <v>59</v>
      </c>
      <c r="N547" s="9">
        <f t="shared" si="49"/>
        <v>885</v>
      </c>
      <c r="O547" s="9"/>
      <c r="P547" s="9"/>
      <c r="Q547" s="10" t="s">
        <v>25</v>
      </c>
    </row>
    <row r="548" spans="1:17" s="11" customFormat="1" ht="39.950000000000003" customHeight="1" x14ac:dyDescent="0.3">
      <c r="A548" s="18" t="s">
        <v>1062</v>
      </c>
      <c r="B548" s="23"/>
      <c r="C548" s="8"/>
      <c r="D548" s="12" t="s">
        <v>2460</v>
      </c>
      <c r="E548" s="12" t="s">
        <v>1664</v>
      </c>
      <c r="F548" s="18" t="s">
        <v>1780</v>
      </c>
      <c r="G548" s="8">
        <v>1</v>
      </c>
      <c r="H548" s="8"/>
      <c r="I548" s="8">
        <v>1</v>
      </c>
      <c r="J548" s="8">
        <f>+G548+H548-I548</f>
        <v>0</v>
      </c>
      <c r="K548" s="8">
        <f>+G548+H548-I548+J548</f>
        <v>0</v>
      </c>
      <c r="L548" s="8"/>
      <c r="M548" s="9">
        <v>1056.0999999999999</v>
      </c>
      <c r="N548" s="9">
        <f>+L548*M548</f>
        <v>0</v>
      </c>
      <c r="O548" s="9"/>
      <c r="P548" s="9"/>
      <c r="Q548" s="10" t="s">
        <v>1887</v>
      </c>
    </row>
    <row r="549" spans="1:17" s="11" customFormat="1" ht="39.950000000000003" customHeight="1" x14ac:dyDescent="0.3">
      <c r="A549" s="18" t="s">
        <v>1063</v>
      </c>
      <c r="B549" s="23"/>
      <c r="C549" s="8"/>
      <c r="D549" s="12" t="s">
        <v>2460</v>
      </c>
      <c r="E549" s="12" t="s">
        <v>1665</v>
      </c>
      <c r="F549" s="18" t="s">
        <v>1780</v>
      </c>
      <c r="G549" s="8">
        <v>2</v>
      </c>
      <c r="H549" s="8"/>
      <c r="I549" s="8"/>
      <c r="J549" s="8">
        <v>0</v>
      </c>
      <c r="K549" s="8">
        <f>+G549+H549-I549+J549</f>
        <v>2</v>
      </c>
      <c r="L549" s="8"/>
      <c r="M549" s="9">
        <v>2250</v>
      </c>
      <c r="N549" s="9">
        <f>+L549*M549</f>
        <v>0</v>
      </c>
      <c r="O549" s="9"/>
      <c r="P549" s="9"/>
      <c r="Q549" s="10" t="s">
        <v>1887</v>
      </c>
    </row>
    <row r="550" spans="1:17" s="11" customFormat="1" ht="39.950000000000003" customHeight="1" x14ac:dyDescent="0.3">
      <c r="A550" s="18" t="s">
        <v>1064</v>
      </c>
      <c r="B550" s="23" t="s">
        <v>4</v>
      </c>
      <c r="C550" s="8"/>
      <c r="D550" s="12" t="s">
        <v>2460</v>
      </c>
      <c r="E550" s="12" t="s">
        <v>265</v>
      </c>
      <c r="F550" s="18" t="s">
        <v>1779</v>
      </c>
      <c r="G550" s="8">
        <v>2</v>
      </c>
      <c r="H550" s="8"/>
      <c r="I550" s="8"/>
      <c r="J550" s="8"/>
      <c r="K550" s="8">
        <f>+G550+H550+-I550</f>
        <v>2</v>
      </c>
      <c r="L550" s="8"/>
      <c r="M550" s="9">
        <v>181.01</v>
      </c>
      <c r="N550" s="9">
        <f>+K550*M550</f>
        <v>362.02</v>
      </c>
      <c r="O550" s="9"/>
      <c r="P550" s="9"/>
      <c r="Q550" s="10" t="s">
        <v>235</v>
      </c>
    </row>
    <row r="551" spans="1:17" s="11" customFormat="1" ht="39.950000000000003" customHeight="1" x14ac:dyDescent="0.3">
      <c r="A551" s="18" t="s">
        <v>1065</v>
      </c>
      <c r="B551" s="23"/>
      <c r="C551" s="8"/>
      <c r="D551" s="12" t="s">
        <v>2460</v>
      </c>
      <c r="E551" s="12" t="s">
        <v>1671</v>
      </c>
      <c r="F551" s="18" t="s">
        <v>1780</v>
      </c>
      <c r="G551" s="8">
        <v>11</v>
      </c>
      <c r="H551" s="8"/>
      <c r="I551" s="8">
        <v>2</v>
      </c>
      <c r="J551" s="8">
        <v>0</v>
      </c>
      <c r="K551" s="8">
        <f>+G551+H551-I551+J551</f>
        <v>9</v>
      </c>
      <c r="L551" s="8"/>
      <c r="M551" s="9">
        <v>258</v>
      </c>
      <c r="N551" s="9">
        <f>+L551*M551</f>
        <v>0</v>
      </c>
      <c r="O551" s="9"/>
      <c r="P551" s="9"/>
      <c r="Q551" s="10" t="s">
        <v>1887</v>
      </c>
    </row>
    <row r="552" spans="1:17" s="11" customFormat="1" ht="39.950000000000003" customHeight="1" x14ac:dyDescent="0.3">
      <c r="A552" s="18" t="s">
        <v>1066</v>
      </c>
      <c r="B552" s="23" t="s">
        <v>4</v>
      </c>
      <c r="C552" s="8"/>
      <c r="D552" s="12" t="s">
        <v>2460</v>
      </c>
      <c r="E552" s="12" t="s">
        <v>266</v>
      </c>
      <c r="F552" s="18" t="s">
        <v>1779</v>
      </c>
      <c r="G552" s="8">
        <f>130+1-1-1-1-1-2-3-1</f>
        <v>121</v>
      </c>
      <c r="H552" s="8"/>
      <c r="I552" s="8">
        <f>4+1+1+1+1+2+6+3+5+2+1+4+9+5+3+6+6+5+3+3+7+1+4+4+4+7+2+3+4+5+4</f>
        <v>116</v>
      </c>
      <c r="J552" s="8"/>
      <c r="K552" s="8">
        <f>+G552+H552+-I552</f>
        <v>5</v>
      </c>
      <c r="L552" s="8"/>
      <c r="M552" s="9">
        <v>541.91</v>
      </c>
      <c r="N552" s="9">
        <f>+K552*M552</f>
        <v>2709.5499999999997</v>
      </c>
      <c r="O552" s="9"/>
      <c r="P552" s="9"/>
      <c r="Q552" s="10" t="s">
        <v>235</v>
      </c>
    </row>
    <row r="553" spans="1:17" s="11" customFormat="1" ht="39.950000000000003" customHeight="1" x14ac:dyDescent="0.3">
      <c r="A553" s="18" t="s">
        <v>1067</v>
      </c>
      <c r="B553" s="23">
        <v>45469</v>
      </c>
      <c r="C553" s="8"/>
      <c r="D553" s="25" t="s">
        <v>2385</v>
      </c>
      <c r="E553" s="12" t="s">
        <v>350</v>
      </c>
      <c r="F553" s="18" t="s">
        <v>1779</v>
      </c>
      <c r="G553" s="8">
        <v>2</v>
      </c>
      <c r="H553" s="8"/>
      <c r="I553" s="8"/>
      <c r="J553" s="8"/>
      <c r="K553" s="8">
        <f>+G553+H553+-I553</f>
        <v>2</v>
      </c>
      <c r="L553" s="8"/>
      <c r="M553" s="9"/>
      <c r="N553" s="9">
        <f>+K553*M553</f>
        <v>0</v>
      </c>
      <c r="O553" s="9"/>
      <c r="P553" s="9"/>
      <c r="Q553" s="10" t="s">
        <v>297</v>
      </c>
    </row>
    <row r="554" spans="1:17" s="11" customFormat="1" ht="39.950000000000003" customHeight="1" x14ac:dyDescent="0.3">
      <c r="A554" s="18" t="s">
        <v>1068</v>
      </c>
      <c r="B554" s="23" t="s">
        <v>1581</v>
      </c>
      <c r="C554" s="8"/>
      <c r="D554" s="12" t="s">
        <v>2440</v>
      </c>
      <c r="E554" s="12" t="s">
        <v>1703</v>
      </c>
      <c r="F554" s="18" t="s">
        <v>1888</v>
      </c>
      <c r="G554" s="8"/>
      <c r="H554" s="8">
        <v>5</v>
      </c>
      <c r="I554" s="8"/>
      <c r="J554" s="8">
        <v>0</v>
      </c>
      <c r="K554" s="8">
        <f t="shared" ref="K554:K562" si="50">+G554+H554-I554+J554</f>
        <v>5</v>
      </c>
      <c r="L554" s="8"/>
      <c r="M554" s="9">
        <v>575.25</v>
      </c>
      <c r="N554" s="9">
        <f>+L554*M554</f>
        <v>0</v>
      </c>
      <c r="O554" s="9"/>
      <c r="P554" s="9"/>
      <c r="Q554" s="10" t="s">
        <v>1887</v>
      </c>
    </row>
    <row r="555" spans="1:17" s="11" customFormat="1" ht="39.950000000000003" customHeight="1" x14ac:dyDescent="0.3">
      <c r="A555" s="18" t="s">
        <v>1069</v>
      </c>
      <c r="B555" s="23" t="s">
        <v>1581</v>
      </c>
      <c r="C555" s="8"/>
      <c r="D555" s="12" t="s">
        <v>2440</v>
      </c>
      <c r="E555" s="12" t="s">
        <v>1700</v>
      </c>
      <c r="F555" s="18" t="s">
        <v>1888</v>
      </c>
      <c r="G555" s="8"/>
      <c r="H555" s="8">
        <v>5</v>
      </c>
      <c r="I555" s="8">
        <v>1</v>
      </c>
      <c r="J555" s="8">
        <v>0</v>
      </c>
      <c r="K555" s="8">
        <f t="shared" si="50"/>
        <v>4</v>
      </c>
      <c r="L555" s="8"/>
      <c r="M555" s="9">
        <v>566.4</v>
      </c>
      <c r="N555" s="9">
        <f>+L555*M555</f>
        <v>0</v>
      </c>
      <c r="O555" s="9"/>
      <c r="P555" s="9"/>
      <c r="Q555" s="10" t="s">
        <v>1887</v>
      </c>
    </row>
    <row r="556" spans="1:17" s="11" customFormat="1" ht="39.950000000000003" customHeight="1" x14ac:dyDescent="0.3">
      <c r="A556" s="18" t="s">
        <v>1070</v>
      </c>
      <c r="B556" s="23" t="s">
        <v>1581</v>
      </c>
      <c r="C556" s="8"/>
      <c r="D556" s="12" t="s">
        <v>2440</v>
      </c>
      <c r="E556" s="12" t="s">
        <v>1704</v>
      </c>
      <c r="F556" s="18" t="s">
        <v>1888</v>
      </c>
      <c r="G556" s="8"/>
      <c r="H556" s="8">
        <v>5</v>
      </c>
      <c r="I556" s="8"/>
      <c r="J556" s="8">
        <v>0</v>
      </c>
      <c r="K556" s="8">
        <f t="shared" si="50"/>
        <v>5</v>
      </c>
      <c r="L556" s="8"/>
      <c r="M556" s="9">
        <v>734.55</v>
      </c>
      <c r="N556" s="9">
        <f>+L556*M556</f>
        <v>0</v>
      </c>
      <c r="O556" s="9"/>
      <c r="P556" s="9"/>
      <c r="Q556" s="10" t="s">
        <v>1887</v>
      </c>
    </row>
    <row r="557" spans="1:17" s="11" customFormat="1" ht="39.950000000000003" customHeight="1" x14ac:dyDescent="0.3">
      <c r="A557" s="18" t="s">
        <v>1071</v>
      </c>
      <c r="B557" s="23" t="s">
        <v>1581</v>
      </c>
      <c r="C557" s="8"/>
      <c r="D557" s="12" t="s">
        <v>2440</v>
      </c>
      <c r="E557" s="12" t="s">
        <v>1701</v>
      </c>
      <c r="F557" s="18" t="s">
        <v>1888</v>
      </c>
      <c r="G557" s="8"/>
      <c r="H557" s="8">
        <v>5</v>
      </c>
      <c r="I557" s="8"/>
      <c r="J557" s="8">
        <v>0</v>
      </c>
      <c r="K557" s="8">
        <f t="shared" si="50"/>
        <v>5</v>
      </c>
      <c r="L557" s="8"/>
      <c r="M557" s="9">
        <v>566.4</v>
      </c>
      <c r="N557" s="9">
        <f>+L557*M557</f>
        <v>0</v>
      </c>
      <c r="O557" s="9"/>
      <c r="P557" s="9"/>
      <c r="Q557" s="10" t="s">
        <v>1887</v>
      </c>
    </row>
    <row r="558" spans="1:17" s="11" customFormat="1" ht="39.950000000000003" customHeight="1" x14ac:dyDescent="0.3">
      <c r="A558" s="18" t="s">
        <v>1072</v>
      </c>
      <c r="B558" s="23" t="s">
        <v>1581</v>
      </c>
      <c r="C558" s="8"/>
      <c r="D558" s="12" t="s">
        <v>2440</v>
      </c>
      <c r="E558" s="12" t="s">
        <v>1702</v>
      </c>
      <c r="F558" s="18" t="s">
        <v>1888</v>
      </c>
      <c r="G558" s="8"/>
      <c r="H558" s="8">
        <v>5</v>
      </c>
      <c r="I558" s="8"/>
      <c r="J558" s="8">
        <v>0</v>
      </c>
      <c r="K558" s="8">
        <f t="shared" si="50"/>
        <v>5</v>
      </c>
      <c r="L558" s="8"/>
      <c r="M558" s="9">
        <v>575.25</v>
      </c>
      <c r="N558" s="9">
        <f>+L558*M558</f>
        <v>0</v>
      </c>
      <c r="O558" s="9"/>
      <c r="P558" s="9"/>
      <c r="Q558" s="10" t="s">
        <v>1887</v>
      </c>
    </row>
    <row r="559" spans="1:17" s="11" customFormat="1" ht="39.950000000000003" customHeight="1" x14ac:dyDescent="0.3">
      <c r="A559" s="18" t="s">
        <v>1073</v>
      </c>
      <c r="B559" s="23">
        <v>45811</v>
      </c>
      <c r="C559" s="8"/>
      <c r="D559" s="12" t="s">
        <v>2440</v>
      </c>
      <c r="E559" s="12" t="s">
        <v>1714</v>
      </c>
      <c r="F559" s="18" t="s">
        <v>1888</v>
      </c>
      <c r="G559" s="8">
        <v>4700</v>
      </c>
      <c r="H559" s="8"/>
      <c r="I559" s="8"/>
      <c r="J559" s="8">
        <v>0</v>
      </c>
      <c r="K559" s="8">
        <f t="shared" si="50"/>
        <v>4700</v>
      </c>
      <c r="L559" s="8"/>
      <c r="M559" s="9"/>
      <c r="N559" s="9"/>
      <c r="O559" s="9"/>
      <c r="P559" s="9"/>
      <c r="Q559" s="10" t="s">
        <v>1887</v>
      </c>
    </row>
    <row r="560" spans="1:17" s="11" customFormat="1" ht="39.950000000000003" customHeight="1" x14ac:dyDescent="0.3">
      <c r="A560" s="18" t="s">
        <v>1074</v>
      </c>
      <c r="B560" s="19">
        <v>45783</v>
      </c>
      <c r="C560" s="20"/>
      <c r="D560" s="12" t="s">
        <v>2318</v>
      </c>
      <c r="E560" s="12" t="s">
        <v>2412</v>
      </c>
      <c r="F560" s="21" t="s">
        <v>1779</v>
      </c>
      <c r="G560" s="8"/>
      <c r="H560" s="8">
        <v>5</v>
      </c>
      <c r="I560" s="8"/>
      <c r="J560" s="8"/>
      <c r="K560" s="8">
        <f t="shared" si="50"/>
        <v>5</v>
      </c>
      <c r="L560" s="8"/>
      <c r="M560" s="9">
        <v>2180.64</v>
      </c>
      <c r="N560" s="9">
        <f t="shared" ref="N560:N573" si="51">+K560*M560</f>
        <v>10903.199999999999</v>
      </c>
      <c r="O560" s="9"/>
      <c r="P560" s="9"/>
      <c r="Q560" s="10" t="s">
        <v>159</v>
      </c>
    </row>
    <row r="561" spans="1:17" s="11" customFormat="1" ht="39.950000000000003" customHeight="1" x14ac:dyDescent="0.3">
      <c r="A561" s="18" t="s">
        <v>1075</v>
      </c>
      <c r="B561" s="19">
        <v>45783</v>
      </c>
      <c r="C561" s="20"/>
      <c r="D561" s="12" t="s">
        <v>2318</v>
      </c>
      <c r="E561" s="12" t="s">
        <v>2411</v>
      </c>
      <c r="F561" s="21" t="s">
        <v>1779</v>
      </c>
      <c r="G561" s="8"/>
      <c r="H561" s="8">
        <v>5</v>
      </c>
      <c r="I561" s="8"/>
      <c r="J561" s="8"/>
      <c r="K561" s="8">
        <f t="shared" si="50"/>
        <v>5</v>
      </c>
      <c r="L561" s="8"/>
      <c r="M561" s="9">
        <v>2180.64</v>
      </c>
      <c r="N561" s="9">
        <f t="shared" si="51"/>
        <v>10903.199999999999</v>
      </c>
      <c r="O561" s="9"/>
      <c r="P561" s="9"/>
      <c r="Q561" s="10" t="s">
        <v>159</v>
      </c>
    </row>
    <row r="562" spans="1:17" s="11" customFormat="1" ht="39.950000000000003" customHeight="1" x14ac:dyDescent="0.3">
      <c r="A562" s="18" t="s">
        <v>1076</v>
      </c>
      <c r="B562" s="19">
        <v>45783</v>
      </c>
      <c r="C562" s="20"/>
      <c r="D562" s="12" t="s">
        <v>2318</v>
      </c>
      <c r="E562" s="12" t="s">
        <v>2413</v>
      </c>
      <c r="F562" s="21" t="s">
        <v>1779</v>
      </c>
      <c r="G562" s="8"/>
      <c r="H562" s="8">
        <v>5</v>
      </c>
      <c r="I562" s="8"/>
      <c r="J562" s="8"/>
      <c r="K562" s="8">
        <f t="shared" si="50"/>
        <v>5</v>
      </c>
      <c r="L562" s="8"/>
      <c r="M562" s="9">
        <v>2180.64</v>
      </c>
      <c r="N562" s="9">
        <f t="shared" si="51"/>
        <v>10903.199999999999</v>
      </c>
      <c r="O562" s="9"/>
      <c r="P562" s="9"/>
      <c r="Q562" s="10" t="s">
        <v>159</v>
      </c>
    </row>
    <row r="563" spans="1:17" s="11" customFormat="1" ht="39.950000000000003" customHeight="1" x14ac:dyDescent="0.3">
      <c r="A563" s="18" t="s">
        <v>1077</v>
      </c>
      <c r="B563" s="23" t="s">
        <v>257</v>
      </c>
      <c r="C563" s="8"/>
      <c r="D563" s="12"/>
      <c r="E563" s="12" t="s">
        <v>450</v>
      </c>
      <c r="F563" s="18" t="s">
        <v>1779</v>
      </c>
      <c r="G563" s="8">
        <v>2</v>
      </c>
      <c r="H563" s="8"/>
      <c r="I563" s="8"/>
      <c r="J563" s="8"/>
      <c r="K563" s="8">
        <f>+G563+H563+-I563</f>
        <v>2</v>
      </c>
      <c r="L563" s="8"/>
      <c r="M563" s="9">
        <v>138</v>
      </c>
      <c r="N563" s="9">
        <f t="shared" si="51"/>
        <v>276</v>
      </c>
      <c r="O563" s="9"/>
      <c r="P563" s="9"/>
      <c r="Q563" s="10" t="s">
        <v>433</v>
      </c>
    </row>
    <row r="564" spans="1:17" s="11" customFormat="1" ht="39.950000000000003" customHeight="1" x14ac:dyDescent="0.3">
      <c r="A564" s="18" t="s">
        <v>1078</v>
      </c>
      <c r="B564" s="23">
        <v>45022</v>
      </c>
      <c r="C564" s="8"/>
      <c r="D564" s="12" t="s">
        <v>2387</v>
      </c>
      <c r="E564" s="12" t="s">
        <v>21</v>
      </c>
      <c r="F564" s="18" t="s">
        <v>1779</v>
      </c>
      <c r="G564" s="8">
        <v>3</v>
      </c>
      <c r="H564" s="8"/>
      <c r="I564" s="8"/>
      <c r="J564" s="8"/>
      <c r="K564" s="8">
        <f>+G564+H564-I564</f>
        <v>3</v>
      </c>
      <c r="L564" s="8"/>
      <c r="M564" s="9">
        <v>506</v>
      </c>
      <c r="N564" s="9">
        <f t="shared" si="51"/>
        <v>1518</v>
      </c>
      <c r="O564" s="9"/>
      <c r="P564" s="9"/>
      <c r="Q564" s="10" t="s">
        <v>18</v>
      </c>
    </row>
    <row r="565" spans="1:17" s="11" customFormat="1" ht="39.950000000000003" customHeight="1" x14ac:dyDescent="0.3">
      <c r="A565" s="18" t="s">
        <v>1079</v>
      </c>
      <c r="B565" s="19" t="s">
        <v>2381</v>
      </c>
      <c r="C565" s="20"/>
      <c r="D565" s="12" t="s">
        <v>2318</v>
      </c>
      <c r="E565" s="12" t="s">
        <v>2380</v>
      </c>
      <c r="F565" s="18" t="s">
        <v>1779</v>
      </c>
      <c r="G565" s="8"/>
      <c r="H565" s="8">
        <v>4</v>
      </c>
      <c r="I565" s="8"/>
      <c r="J565" s="8"/>
      <c r="K565" s="8">
        <f>+G565+H565-I565+J565</f>
        <v>4</v>
      </c>
      <c r="L565" s="8"/>
      <c r="M565" s="9">
        <v>614.78</v>
      </c>
      <c r="N565" s="9">
        <f t="shared" si="51"/>
        <v>2459.12</v>
      </c>
      <c r="O565" s="9"/>
      <c r="P565" s="9"/>
      <c r="Q565" s="10" t="s">
        <v>25</v>
      </c>
    </row>
    <row r="566" spans="1:17" s="11" customFormat="1" ht="39.950000000000003" customHeight="1" x14ac:dyDescent="0.3">
      <c r="A566" s="18" t="s">
        <v>1080</v>
      </c>
      <c r="B566" s="23" t="s">
        <v>4</v>
      </c>
      <c r="C566" s="8"/>
      <c r="D566" s="12"/>
      <c r="E566" s="12" t="s">
        <v>451</v>
      </c>
      <c r="F566" s="18" t="s">
        <v>1779</v>
      </c>
      <c r="G566" s="8">
        <v>2</v>
      </c>
      <c r="H566" s="8"/>
      <c r="I566" s="8">
        <v>2</v>
      </c>
      <c r="J566" s="8"/>
      <c r="K566" s="8">
        <f t="shared" ref="K566:K573" si="52">+G566+H566+-I566</f>
        <v>0</v>
      </c>
      <c r="L566" s="8"/>
      <c r="M566" s="9">
        <v>650</v>
      </c>
      <c r="N566" s="9">
        <f t="shared" si="51"/>
        <v>0</v>
      </c>
      <c r="O566" s="9"/>
      <c r="P566" s="9"/>
      <c r="Q566" s="10" t="s">
        <v>433</v>
      </c>
    </row>
    <row r="567" spans="1:17" s="11" customFormat="1" ht="39.950000000000003" customHeight="1" x14ac:dyDescent="0.3">
      <c r="A567" s="18" t="s">
        <v>1081</v>
      </c>
      <c r="B567" s="23" t="s">
        <v>4</v>
      </c>
      <c r="C567" s="8"/>
      <c r="D567" s="12" t="s">
        <v>2385</v>
      </c>
      <c r="E567" s="12" t="s">
        <v>351</v>
      </c>
      <c r="F567" s="18" t="s">
        <v>1779</v>
      </c>
      <c r="G567" s="8">
        <v>7</v>
      </c>
      <c r="H567" s="8"/>
      <c r="I567" s="8">
        <v>1</v>
      </c>
      <c r="J567" s="8"/>
      <c r="K567" s="8">
        <f t="shared" si="52"/>
        <v>6</v>
      </c>
      <c r="L567" s="8"/>
      <c r="M567" s="9">
        <v>38.29</v>
      </c>
      <c r="N567" s="9">
        <f t="shared" si="51"/>
        <v>229.74</v>
      </c>
      <c r="O567" s="9"/>
      <c r="P567" s="9"/>
      <c r="Q567" s="10" t="s">
        <v>297</v>
      </c>
    </row>
    <row r="568" spans="1:17" s="11" customFormat="1" ht="39.950000000000003" customHeight="1" x14ac:dyDescent="0.3">
      <c r="A568" s="18" t="s">
        <v>1082</v>
      </c>
      <c r="B568" s="23" t="s">
        <v>4</v>
      </c>
      <c r="C568" s="8"/>
      <c r="D568" s="12" t="s">
        <v>2318</v>
      </c>
      <c r="E568" s="12" t="s">
        <v>1180</v>
      </c>
      <c r="F568" s="18" t="s">
        <v>1779</v>
      </c>
      <c r="G568" s="8">
        <v>4</v>
      </c>
      <c r="H568" s="8"/>
      <c r="I568" s="8">
        <f>2+1</f>
        <v>3</v>
      </c>
      <c r="J568" s="8"/>
      <c r="K568" s="8">
        <f t="shared" si="52"/>
        <v>1</v>
      </c>
      <c r="L568" s="8"/>
      <c r="M568" s="9">
        <v>767</v>
      </c>
      <c r="N568" s="9">
        <f t="shared" si="51"/>
        <v>767</v>
      </c>
      <c r="O568" s="9"/>
      <c r="P568" s="9"/>
      <c r="Q568" s="10" t="s">
        <v>159</v>
      </c>
    </row>
    <row r="569" spans="1:17" s="11" customFormat="1" ht="39.950000000000003" customHeight="1" x14ac:dyDescent="0.3">
      <c r="A569" s="18" t="s">
        <v>1083</v>
      </c>
      <c r="B569" s="23" t="s">
        <v>4</v>
      </c>
      <c r="C569" s="8"/>
      <c r="D569" s="12" t="s">
        <v>2318</v>
      </c>
      <c r="E569" s="12" t="s">
        <v>178</v>
      </c>
      <c r="F569" s="18" t="s">
        <v>1779</v>
      </c>
      <c r="G569" s="8">
        <f>99-1-8-10</f>
        <v>80</v>
      </c>
      <c r="H569" s="8"/>
      <c r="I569" s="8">
        <f>1+18+61</f>
        <v>80</v>
      </c>
      <c r="J569" s="8"/>
      <c r="K569" s="8">
        <f t="shared" si="52"/>
        <v>0</v>
      </c>
      <c r="L569" s="8"/>
      <c r="M569" s="9">
        <v>156.9</v>
      </c>
      <c r="N569" s="9">
        <f t="shared" si="51"/>
        <v>0</v>
      </c>
      <c r="O569" s="9"/>
      <c r="P569" s="9"/>
      <c r="Q569" s="10" t="s">
        <v>159</v>
      </c>
    </row>
    <row r="570" spans="1:17" s="11" customFormat="1" ht="39.950000000000003" customHeight="1" x14ac:dyDescent="0.3">
      <c r="A570" s="18" t="s">
        <v>1084</v>
      </c>
      <c r="B570" s="23">
        <v>45799</v>
      </c>
      <c r="C570" s="8"/>
      <c r="D570" s="12" t="s">
        <v>2321</v>
      </c>
      <c r="E570" s="12" t="s">
        <v>1864</v>
      </c>
      <c r="F570" s="18" t="s">
        <v>1779</v>
      </c>
      <c r="G570" s="8"/>
      <c r="H570" s="8">
        <v>50</v>
      </c>
      <c r="I570" s="8"/>
      <c r="J570" s="8"/>
      <c r="K570" s="8">
        <f t="shared" si="52"/>
        <v>50</v>
      </c>
      <c r="L570" s="8">
        <v>50</v>
      </c>
      <c r="M570" s="9">
        <v>142</v>
      </c>
      <c r="N570" s="9">
        <f t="shared" si="51"/>
        <v>7100</v>
      </c>
      <c r="O570" s="9"/>
      <c r="P570" s="9"/>
      <c r="Q570" s="10" t="s">
        <v>433</v>
      </c>
    </row>
    <row r="571" spans="1:17" s="11" customFormat="1" ht="39.950000000000003" customHeight="1" x14ac:dyDescent="0.3">
      <c r="A571" s="18" t="s">
        <v>1085</v>
      </c>
      <c r="B571" s="23" t="s">
        <v>4</v>
      </c>
      <c r="C571" s="8"/>
      <c r="D571" s="12"/>
      <c r="E571" s="12" t="s">
        <v>1261</v>
      </c>
      <c r="F571" s="18" t="s">
        <v>1779</v>
      </c>
      <c r="G571" s="8">
        <v>4</v>
      </c>
      <c r="H571" s="8"/>
      <c r="I571" s="8"/>
      <c r="J571" s="8"/>
      <c r="K571" s="8">
        <f t="shared" si="52"/>
        <v>4</v>
      </c>
      <c r="L571" s="8"/>
      <c r="M571" s="9">
        <v>366</v>
      </c>
      <c r="N571" s="9">
        <f t="shared" si="51"/>
        <v>1464</v>
      </c>
      <c r="O571" s="9"/>
      <c r="P571" s="9"/>
      <c r="Q571" s="10" t="s">
        <v>433</v>
      </c>
    </row>
    <row r="572" spans="1:17" s="11" customFormat="1" ht="39.950000000000003" customHeight="1" x14ac:dyDescent="0.3">
      <c r="A572" s="18" t="s">
        <v>1086</v>
      </c>
      <c r="B572" s="23" t="s">
        <v>4</v>
      </c>
      <c r="C572" s="8"/>
      <c r="D572" s="12"/>
      <c r="E572" s="12" t="s">
        <v>452</v>
      </c>
      <c r="F572" s="18" t="s">
        <v>1779</v>
      </c>
      <c r="G572" s="8">
        <v>1</v>
      </c>
      <c r="H572" s="8"/>
      <c r="I572" s="8"/>
      <c r="J572" s="8"/>
      <c r="K572" s="8">
        <f t="shared" si="52"/>
        <v>1</v>
      </c>
      <c r="L572" s="8"/>
      <c r="M572" s="9">
        <v>3200</v>
      </c>
      <c r="N572" s="9">
        <f t="shared" si="51"/>
        <v>3200</v>
      </c>
      <c r="O572" s="9"/>
      <c r="P572" s="9"/>
      <c r="Q572" s="10" t="s">
        <v>433</v>
      </c>
    </row>
    <row r="573" spans="1:17" s="11" customFormat="1" ht="39.950000000000003" customHeight="1" x14ac:dyDescent="0.3">
      <c r="A573" s="18" t="s">
        <v>1087</v>
      </c>
      <c r="B573" s="23" t="s">
        <v>4</v>
      </c>
      <c r="C573" s="8"/>
      <c r="D573" s="12"/>
      <c r="E573" s="12" t="s">
        <v>453</v>
      </c>
      <c r="F573" s="18" t="s">
        <v>1779</v>
      </c>
      <c r="G573" s="8">
        <v>1</v>
      </c>
      <c r="H573" s="8"/>
      <c r="I573" s="8"/>
      <c r="J573" s="8"/>
      <c r="K573" s="8">
        <f t="shared" si="52"/>
        <v>1</v>
      </c>
      <c r="L573" s="8"/>
      <c r="M573" s="9">
        <v>95</v>
      </c>
      <c r="N573" s="9">
        <f t="shared" si="51"/>
        <v>95</v>
      </c>
      <c r="O573" s="9"/>
      <c r="P573" s="9"/>
      <c r="Q573" s="10" t="s">
        <v>433</v>
      </c>
    </row>
    <row r="574" spans="1:17" s="11" customFormat="1" ht="39.950000000000003" customHeight="1" x14ac:dyDescent="0.3">
      <c r="A574" s="18" t="s">
        <v>1088</v>
      </c>
      <c r="B574" s="19">
        <v>45819</v>
      </c>
      <c r="C574" s="20"/>
      <c r="D574" s="12"/>
      <c r="E574" s="12" t="s">
        <v>2220</v>
      </c>
      <c r="F574" s="18" t="s">
        <v>1779</v>
      </c>
      <c r="G574" s="8"/>
      <c r="H574" s="8">
        <v>1</v>
      </c>
      <c r="I574" s="8"/>
      <c r="J574" s="8"/>
      <c r="K574" s="8">
        <f>+G574+H574-I574+J574</f>
        <v>1</v>
      </c>
      <c r="L574" s="8"/>
      <c r="M574" s="9">
        <v>5758</v>
      </c>
      <c r="N574" s="9"/>
      <c r="O574" s="9"/>
      <c r="P574" s="9"/>
      <c r="Q574" s="10" t="s">
        <v>1321</v>
      </c>
    </row>
    <row r="575" spans="1:17" s="11" customFormat="1" ht="39.950000000000003" customHeight="1" x14ac:dyDescent="0.3">
      <c r="A575" s="18" t="s">
        <v>1089</v>
      </c>
      <c r="B575" s="23" t="s">
        <v>4</v>
      </c>
      <c r="C575" s="8"/>
      <c r="D575" s="12" t="s">
        <v>2409</v>
      </c>
      <c r="E575" s="12" t="s">
        <v>1260</v>
      </c>
      <c r="F575" s="18" t="s">
        <v>1779</v>
      </c>
      <c r="G575" s="8">
        <v>6</v>
      </c>
      <c r="H575" s="8"/>
      <c r="I575" s="8"/>
      <c r="J575" s="8"/>
      <c r="K575" s="8">
        <f>+G575+H575+-I575</f>
        <v>6</v>
      </c>
      <c r="L575" s="8">
        <v>6</v>
      </c>
      <c r="M575" s="9">
        <v>944</v>
      </c>
      <c r="N575" s="9">
        <f>+K575*M575</f>
        <v>5664</v>
      </c>
      <c r="O575" s="9"/>
      <c r="P575" s="9"/>
      <c r="Q575" s="10" t="s">
        <v>433</v>
      </c>
    </row>
    <row r="576" spans="1:17" s="11" customFormat="1" ht="39.950000000000003" customHeight="1" x14ac:dyDescent="0.3">
      <c r="A576" s="18" t="s">
        <v>1090</v>
      </c>
      <c r="B576" s="23">
        <v>45804</v>
      </c>
      <c r="C576" s="8"/>
      <c r="D576" s="12" t="s">
        <v>2409</v>
      </c>
      <c r="E576" s="12" t="s">
        <v>2175</v>
      </c>
      <c r="F576" s="18" t="s">
        <v>1779</v>
      </c>
      <c r="G576" s="8"/>
      <c r="H576" s="8">
        <v>30</v>
      </c>
      <c r="I576" s="8">
        <v>1</v>
      </c>
      <c r="J576" s="8"/>
      <c r="K576" s="8">
        <f>+G576+H576+-I576</f>
        <v>29</v>
      </c>
      <c r="L576" s="8"/>
      <c r="M576" s="9">
        <v>165</v>
      </c>
      <c r="N576" s="9">
        <f>+K576*M576</f>
        <v>4785</v>
      </c>
      <c r="O576" s="9"/>
      <c r="P576" s="9"/>
      <c r="Q576" s="10" t="s">
        <v>433</v>
      </c>
    </row>
    <row r="577" spans="1:17" s="11" customFormat="1" ht="39.950000000000003" customHeight="1" x14ac:dyDescent="0.3">
      <c r="A577" s="18" t="s">
        <v>1091</v>
      </c>
      <c r="B577" s="23">
        <v>45840</v>
      </c>
      <c r="C577" s="8"/>
      <c r="D577" s="12"/>
      <c r="E577" s="12" t="s">
        <v>1696</v>
      </c>
      <c r="F577" s="18" t="s">
        <v>1779</v>
      </c>
      <c r="G577" s="8">
        <v>4</v>
      </c>
      <c r="H577" s="8"/>
      <c r="I577" s="8"/>
      <c r="J577" s="8">
        <v>0</v>
      </c>
      <c r="K577" s="8">
        <f>+G577+H577-I577+J577</f>
        <v>4</v>
      </c>
      <c r="L577" s="8"/>
      <c r="M577" s="9"/>
      <c r="N577" s="9">
        <f>+L577*M577</f>
        <v>0</v>
      </c>
      <c r="O577" s="9"/>
      <c r="P577" s="9"/>
      <c r="Q577" s="10" t="s">
        <v>1887</v>
      </c>
    </row>
    <row r="578" spans="1:17" s="11" customFormat="1" ht="39.950000000000003" customHeight="1" x14ac:dyDescent="0.3">
      <c r="A578" s="18" t="s">
        <v>1092</v>
      </c>
      <c r="B578" s="23" t="s">
        <v>4</v>
      </c>
      <c r="C578" s="8"/>
      <c r="D578" s="12" t="s">
        <v>2385</v>
      </c>
      <c r="E578" s="12" t="s">
        <v>352</v>
      </c>
      <c r="F578" s="18" t="s">
        <v>1779</v>
      </c>
      <c r="G578" s="8">
        <v>3</v>
      </c>
      <c r="H578" s="8"/>
      <c r="I578" s="8"/>
      <c r="J578" s="8"/>
      <c r="K578" s="8">
        <f t="shared" ref="K578:K584" si="53">+G578+H578+-I578</f>
        <v>3</v>
      </c>
      <c r="L578" s="8"/>
      <c r="M578" s="9">
        <v>200</v>
      </c>
      <c r="N578" s="9">
        <f>+K578*M578</f>
        <v>600</v>
      </c>
      <c r="O578" s="9"/>
      <c r="P578" s="9"/>
      <c r="Q578" s="10" t="s">
        <v>297</v>
      </c>
    </row>
    <row r="579" spans="1:17" s="11" customFormat="1" ht="39.950000000000003" customHeight="1" x14ac:dyDescent="0.3">
      <c r="A579" s="18" t="s">
        <v>1093</v>
      </c>
      <c r="B579" s="23" t="s">
        <v>4</v>
      </c>
      <c r="C579" s="8"/>
      <c r="D579" s="12" t="s">
        <v>2385</v>
      </c>
      <c r="E579" s="12" t="s">
        <v>429</v>
      </c>
      <c r="F579" s="18" t="s">
        <v>1779</v>
      </c>
      <c r="G579" s="8">
        <v>4</v>
      </c>
      <c r="H579" s="8"/>
      <c r="I579" s="8">
        <v>1</v>
      </c>
      <c r="J579" s="8"/>
      <c r="K579" s="8">
        <f t="shared" si="53"/>
        <v>3</v>
      </c>
      <c r="L579" s="8"/>
      <c r="M579" s="9"/>
      <c r="N579" s="9"/>
      <c r="O579" s="9"/>
      <c r="P579" s="9"/>
      <c r="Q579" s="10" t="s">
        <v>297</v>
      </c>
    </row>
    <row r="580" spans="1:17" s="11" customFormat="1" ht="39.950000000000003" customHeight="1" x14ac:dyDescent="0.3">
      <c r="A580" s="18" t="s">
        <v>1094</v>
      </c>
      <c r="B580" s="23"/>
      <c r="C580" s="8"/>
      <c r="D580" s="12" t="s">
        <v>2385</v>
      </c>
      <c r="E580" s="12" t="s">
        <v>353</v>
      </c>
      <c r="F580" s="18" t="s">
        <v>1779</v>
      </c>
      <c r="G580" s="8">
        <v>2</v>
      </c>
      <c r="H580" s="8"/>
      <c r="I580" s="8"/>
      <c r="J580" s="8"/>
      <c r="K580" s="8">
        <f t="shared" si="53"/>
        <v>2</v>
      </c>
      <c r="L580" s="8"/>
      <c r="M580" s="9"/>
      <c r="N580" s="9">
        <f t="shared" ref="N580:N594" si="54">+K580*M580</f>
        <v>0</v>
      </c>
      <c r="O580" s="9"/>
      <c r="P580" s="9"/>
      <c r="Q580" s="10" t="s">
        <v>297</v>
      </c>
    </row>
    <row r="581" spans="1:17" s="11" customFormat="1" ht="39.950000000000003" customHeight="1" x14ac:dyDescent="0.3">
      <c r="A581" s="18" t="s">
        <v>1095</v>
      </c>
      <c r="B581" s="23"/>
      <c r="C581" s="8"/>
      <c r="D581" s="12" t="s">
        <v>2385</v>
      </c>
      <c r="E581" s="12" t="s">
        <v>357</v>
      </c>
      <c r="F581" s="18" t="s">
        <v>1779</v>
      </c>
      <c r="G581" s="8">
        <v>1</v>
      </c>
      <c r="H581" s="8"/>
      <c r="I581" s="8"/>
      <c r="J581" s="8"/>
      <c r="K581" s="8">
        <f t="shared" si="53"/>
        <v>1</v>
      </c>
      <c r="L581" s="8"/>
      <c r="M581" s="9"/>
      <c r="N581" s="9">
        <f t="shared" si="54"/>
        <v>0</v>
      </c>
      <c r="O581" s="9"/>
      <c r="P581" s="9"/>
      <c r="Q581" s="10" t="s">
        <v>297</v>
      </c>
    </row>
    <row r="582" spans="1:17" s="11" customFormat="1" ht="39.950000000000003" customHeight="1" x14ac:dyDescent="0.3">
      <c r="A582" s="18" t="s">
        <v>1096</v>
      </c>
      <c r="B582" s="23"/>
      <c r="C582" s="8"/>
      <c r="D582" s="12" t="s">
        <v>2385</v>
      </c>
      <c r="E582" s="12" t="s">
        <v>354</v>
      </c>
      <c r="F582" s="18" t="s">
        <v>1779</v>
      </c>
      <c r="G582" s="8">
        <v>2</v>
      </c>
      <c r="H582" s="8"/>
      <c r="I582" s="8"/>
      <c r="J582" s="8"/>
      <c r="K582" s="8">
        <f t="shared" si="53"/>
        <v>2</v>
      </c>
      <c r="L582" s="8"/>
      <c r="M582" s="9"/>
      <c r="N582" s="9">
        <f t="shared" si="54"/>
        <v>0</v>
      </c>
      <c r="O582" s="9"/>
      <c r="P582" s="9"/>
      <c r="Q582" s="10" t="s">
        <v>297</v>
      </c>
    </row>
    <row r="583" spans="1:17" s="11" customFormat="1" ht="39.950000000000003" customHeight="1" x14ac:dyDescent="0.3">
      <c r="A583" s="18" t="s">
        <v>1097</v>
      </c>
      <c r="B583" s="23">
        <v>45469</v>
      </c>
      <c r="C583" s="8">
        <v>10</v>
      </c>
      <c r="D583" s="12" t="s">
        <v>2386</v>
      </c>
      <c r="E583" s="12" t="s">
        <v>358</v>
      </c>
      <c r="F583" s="18" t="s">
        <v>1779</v>
      </c>
      <c r="G583" s="8">
        <v>280</v>
      </c>
      <c r="H583" s="8"/>
      <c r="I583" s="8">
        <f>100+100</f>
        <v>200</v>
      </c>
      <c r="J583" s="8"/>
      <c r="K583" s="8">
        <f t="shared" si="53"/>
        <v>80</v>
      </c>
      <c r="L583" s="8"/>
      <c r="M583" s="9"/>
      <c r="N583" s="9">
        <f t="shared" si="54"/>
        <v>0</v>
      </c>
      <c r="O583" s="9"/>
      <c r="P583" s="9"/>
      <c r="Q583" s="10" t="s">
        <v>297</v>
      </c>
    </row>
    <row r="584" spans="1:17" s="11" customFormat="1" ht="39.950000000000003" customHeight="1" x14ac:dyDescent="0.3">
      <c r="A584" s="18" t="s">
        <v>1098</v>
      </c>
      <c r="B584" s="23"/>
      <c r="C584" s="8"/>
      <c r="D584" s="12" t="s">
        <v>2386</v>
      </c>
      <c r="E584" s="12" t="s">
        <v>359</v>
      </c>
      <c r="F584" s="18" t="s">
        <v>1779</v>
      </c>
      <c r="G584" s="8">
        <v>2</v>
      </c>
      <c r="H584" s="8"/>
      <c r="I584" s="8">
        <v>2</v>
      </c>
      <c r="J584" s="8"/>
      <c r="K584" s="8">
        <f t="shared" si="53"/>
        <v>0</v>
      </c>
      <c r="L584" s="8"/>
      <c r="M584" s="9"/>
      <c r="N584" s="9">
        <f t="shared" si="54"/>
        <v>0</v>
      </c>
      <c r="O584" s="9"/>
      <c r="P584" s="9"/>
      <c r="Q584" s="10" t="s">
        <v>297</v>
      </c>
    </row>
    <row r="585" spans="1:17" s="11" customFormat="1" ht="39.950000000000003" customHeight="1" x14ac:dyDescent="0.3">
      <c r="A585" s="18" t="s">
        <v>1099</v>
      </c>
      <c r="B585" s="23"/>
      <c r="C585" s="8"/>
      <c r="D585" s="12" t="s">
        <v>2394</v>
      </c>
      <c r="E585" s="12" t="s">
        <v>1571</v>
      </c>
      <c r="F585" s="18" t="s">
        <v>1779</v>
      </c>
      <c r="G585" s="8">
        <v>5</v>
      </c>
      <c r="H585" s="8"/>
      <c r="I585" s="8">
        <v>2</v>
      </c>
      <c r="J585" s="8"/>
      <c r="K585" s="8">
        <f>+G585+H585-I585</f>
        <v>3</v>
      </c>
      <c r="L585" s="8"/>
      <c r="M585" s="9">
        <v>10800</v>
      </c>
      <c r="N585" s="9">
        <f t="shared" si="54"/>
        <v>32400</v>
      </c>
      <c r="O585" s="9"/>
      <c r="P585" s="9"/>
      <c r="Q585" s="10" t="s">
        <v>25</v>
      </c>
    </row>
    <row r="586" spans="1:17" s="11" customFormat="1" ht="39.950000000000003" customHeight="1" x14ac:dyDescent="0.3">
      <c r="A586" s="18" t="s">
        <v>1100</v>
      </c>
      <c r="B586" s="23"/>
      <c r="C586" s="8"/>
      <c r="D586" s="12" t="s">
        <v>2394</v>
      </c>
      <c r="E586" s="12" t="s">
        <v>77</v>
      </c>
      <c r="F586" s="18" t="s">
        <v>1779</v>
      </c>
      <c r="G586" s="8">
        <v>1</v>
      </c>
      <c r="H586" s="8"/>
      <c r="I586" s="8">
        <v>1</v>
      </c>
      <c r="J586" s="8"/>
      <c r="K586" s="8">
        <f>+G586+H586-I586</f>
        <v>0</v>
      </c>
      <c r="L586" s="8"/>
      <c r="M586" s="9">
        <v>5000</v>
      </c>
      <c r="N586" s="9">
        <f t="shared" si="54"/>
        <v>0</v>
      </c>
      <c r="O586" s="9"/>
      <c r="P586" s="9"/>
      <c r="Q586" s="10" t="s">
        <v>25</v>
      </c>
    </row>
    <row r="587" spans="1:17" s="11" customFormat="1" ht="39.950000000000003" customHeight="1" x14ac:dyDescent="0.3">
      <c r="A587" s="18" t="s">
        <v>1101</v>
      </c>
      <c r="B587" s="23">
        <v>45662</v>
      </c>
      <c r="C587" s="8"/>
      <c r="D587" s="12" t="s">
        <v>2394</v>
      </c>
      <c r="E587" s="12" t="s">
        <v>1769</v>
      </c>
      <c r="F587" s="18" t="s">
        <v>1779</v>
      </c>
      <c r="G587" s="8"/>
      <c r="H587" s="8">
        <v>1</v>
      </c>
      <c r="I587" s="8">
        <v>1</v>
      </c>
      <c r="J587" s="8"/>
      <c r="K587" s="8">
        <f>+G587+H587+-I587</f>
        <v>0</v>
      </c>
      <c r="L587" s="8"/>
      <c r="M587" s="9">
        <v>152.54</v>
      </c>
      <c r="N587" s="9">
        <f t="shared" si="54"/>
        <v>0</v>
      </c>
      <c r="O587" s="9"/>
      <c r="P587" s="9"/>
      <c r="Q587" s="10" t="s">
        <v>25</v>
      </c>
    </row>
    <row r="588" spans="1:17" s="11" customFormat="1" ht="39.950000000000003" customHeight="1" x14ac:dyDescent="0.3">
      <c r="A588" s="18" t="s">
        <v>1102</v>
      </c>
      <c r="B588" s="23">
        <v>45662</v>
      </c>
      <c r="C588" s="8"/>
      <c r="D588" s="12" t="s">
        <v>2394</v>
      </c>
      <c r="E588" s="12" t="s">
        <v>1767</v>
      </c>
      <c r="F588" s="18" t="s">
        <v>1779</v>
      </c>
      <c r="G588" s="8"/>
      <c r="H588" s="8">
        <v>2</v>
      </c>
      <c r="I588" s="8">
        <v>2</v>
      </c>
      <c r="J588" s="8"/>
      <c r="K588" s="8">
        <f>+G588+H588+-I588</f>
        <v>0</v>
      </c>
      <c r="L588" s="8"/>
      <c r="M588" s="9">
        <v>139.83000000000001</v>
      </c>
      <c r="N588" s="9">
        <f t="shared" si="54"/>
        <v>0</v>
      </c>
      <c r="O588" s="9"/>
      <c r="P588" s="9"/>
      <c r="Q588" s="10" t="s">
        <v>25</v>
      </c>
    </row>
    <row r="589" spans="1:17" s="11" customFormat="1" ht="20.25" x14ac:dyDescent="0.3">
      <c r="A589" s="18" t="s">
        <v>1103</v>
      </c>
      <c r="B589" s="23">
        <v>45662</v>
      </c>
      <c r="C589" s="8"/>
      <c r="D589" s="12" t="s">
        <v>2394</v>
      </c>
      <c r="E589" s="12" t="s">
        <v>1768</v>
      </c>
      <c r="F589" s="18" t="s">
        <v>1779</v>
      </c>
      <c r="G589" s="8"/>
      <c r="H589" s="8">
        <v>4</v>
      </c>
      <c r="I589" s="8">
        <v>4</v>
      </c>
      <c r="J589" s="8"/>
      <c r="K589" s="8">
        <f>+G589+H589+-I589</f>
        <v>0</v>
      </c>
      <c r="L589" s="8"/>
      <c r="M589" s="9">
        <v>135.59</v>
      </c>
      <c r="N589" s="9">
        <f t="shared" si="54"/>
        <v>0</v>
      </c>
      <c r="O589" s="9"/>
      <c r="P589" s="9"/>
      <c r="Q589" s="10" t="s">
        <v>25</v>
      </c>
    </row>
    <row r="590" spans="1:17" s="11" customFormat="1" ht="40.5" x14ac:dyDescent="0.3">
      <c r="A590" s="18" t="s">
        <v>1104</v>
      </c>
      <c r="B590" s="23"/>
      <c r="C590" s="8"/>
      <c r="D590" s="12" t="s">
        <v>2394</v>
      </c>
      <c r="E590" s="12" t="s">
        <v>1568</v>
      </c>
      <c r="F590" s="18" t="s">
        <v>1779</v>
      </c>
      <c r="G590" s="8">
        <v>27</v>
      </c>
      <c r="H590" s="8"/>
      <c r="I590" s="8">
        <f>6+2</f>
        <v>8</v>
      </c>
      <c r="J590" s="8"/>
      <c r="K590" s="8">
        <f>+G590+H590-I590</f>
        <v>19</v>
      </c>
      <c r="L590" s="8"/>
      <c r="M590" s="9">
        <v>1020</v>
      </c>
      <c r="N590" s="9">
        <f t="shared" si="54"/>
        <v>19380</v>
      </c>
      <c r="O590" s="9"/>
      <c r="P590" s="9"/>
      <c r="Q590" s="10" t="s">
        <v>25</v>
      </c>
    </row>
    <row r="591" spans="1:17" s="11" customFormat="1" ht="20.25" x14ac:dyDescent="0.3">
      <c r="A591" s="18" t="s">
        <v>1105</v>
      </c>
      <c r="B591" s="23" t="s">
        <v>257</v>
      </c>
      <c r="C591" s="8"/>
      <c r="D591" s="12" t="s">
        <v>2394</v>
      </c>
      <c r="E591" s="12" t="s">
        <v>1570</v>
      </c>
      <c r="F591" s="18" t="s">
        <v>1779</v>
      </c>
      <c r="G591" s="8">
        <v>247</v>
      </c>
      <c r="H591" s="8"/>
      <c r="I591" s="8">
        <v>4</v>
      </c>
      <c r="J591" s="8"/>
      <c r="K591" s="8">
        <f>+G591+H591-I591</f>
        <v>243</v>
      </c>
      <c r="L591" s="8"/>
      <c r="M591" s="9">
        <v>265.5</v>
      </c>
      <c r="N591" s="9">
        <f t="shared" si="54"/>
        <v>64516.5</v>
      </c>
      <c r="O591" s="9"/>
      <c r="P591" s="9"/>
      <c r="Q591" s="10" t="s">
        <v>25</v>
      </c>
    </row>
    <row r="592" spans="1:17" s="11" customFormat="1" ht="41.25" customHeight="1" x14ac:dyDescent="0.3">
      <c r="A592" s="18" t="s">
        <v>1106</v>
      </c>
      <c r="B592" s="23">
        <v>45778</v>
      </c>
      <c r="C592" s="8"/>
      <c r="D592" s="12" t="s">
        <v>2394</v>
      </c>
      <c r="E592" s="12" t="s">
        <v>2103</v>
      </c>
      <c r="F592" s="18" t="s">
        <v>1779</v>
      </c>
      <c r="G592" s="8"/>
      <c r="H592" s="8">
        <v>1</v>
      </c>
      <c r="I592" s="8">
        <v>1</v>
      </c>
      <c r="J592" s="8"/>
      <c r="K592" s="8">
        <f>+G592+H592-I592+J592</f>
        <v>0</v>
      </c>
      <c r="L592" s="8"/>
      <c r="M592" s="9">
        <v>152.54</v>
      </c>
      <c r="N592" s="9">
        <f t="shared" si="54"/>
        <v>0</v>
      </c>
      <c r="O592" s="9"/>
      <c r="P592" s="9"/>
      <c r="Q592" s="10" t="s">
        <v>25</v>
      </c>
    </row>
    <row r="593" spans="1:17" s="11" customFormat="1" ht="23.25" customHeight="1" x14ac:dyDescent="0.3">
      <c r="A593" s="18" t="s">
        <v>1107</v>
      </c>
      <c r="B593" s="23">
        <v>45778</v>
      </c>
      <c r="C593" s="8"/>
      <c r="D593" s="12" t="s">
        <v>2394</v>
      </c>
      <c r="E593" s="12" t="s">
        <v>2104</v>
      </c>
      <c r="F593" s="18" t="s">
        <v>1779</v>
      </c>
      <c r="G593" s="8"/>
      <c r="H593" s="8">
        <v>2</v>
      </c>
      <c r="I593" s="8">
        <v>2</v>
      </c>
      <c r="J593" s="8"/>
      <c r="K593" s="8">
        <f>+G593+H593-I593+J593</f>
        <v>0</v>
      </c>
      <c r="L593" s="8"/>
      <c r="M593" s="9">
        <v>139.83000000000001</v>
      </c>
      <c r="N593" s="9">
        <f t="shared" si="54"/>
        <v>0</v>
      </c>
      <c r="O593" s="9"/>
      <c r="P593" s="9"/>
      <c r="Q593" s="10" t="s">
        <v>25</v>
      </c>
    </row>
    <row r="594" spans="1:17" s="11" customFormat="1" ht="20.25" x14ac:dyDescent="0.3">
      <c r="A594" s="18" t="s">
        <v>1108</v>
      </c>
      <c r="B594" s="23">
        <v>45778</v>
      </c>
      <c r="C594" s="8"/>
      <c r="D594" s="12" t="s">
        <v>2394</v>
      </c>
      <c r="E594" s="12" t="s">
        <v>2102</v>
      </c>
      <c r="F594" s="18" t="s">
        <v>1779</v>
      </c>
      <c r="G594" s="8"/>
      <c r="H594" s="8">
        <v>4</v>
      </c>
      <c r="I594" s="8">
        <v>4</v>
      </c>
      <c r="J594" s="8"/>
      <c r="K594" s="8">
        <f>+G594+H594-I594+J594</f>
        <v>0</v>
      </c>
      <c r="L594" s="8"/>
      <c r="M594" s="9">
        <v>135.59</v>
      </c>
      <c r="N594" s="9">
        <f t="shared" si="54"/>
        <v>0</v>
      </c>
      <c r="O594" s="9"/>
      <c r="P594" s="9"/>
      <c r="Q594" s="10" t="s">
        <v>25</v>
      </c>
    </row>
    <row r="595" spans="1:17" s="11" customFormat="1" ht="23.25" customHeight="1" x14ac:dyDescent="0.3">
      <c r="A595" s="18" t="s">
        <v>1109</v>
      </c>
      <c r="B595" s="23" t="s">
        <v>4</v>
      </c>
      <c r="C595" s="8"/>
      <c r="D595" s="12" t="s">
        <v>2394</v>
      </c>
      <c r="E595" s="12" t="s">
        <v>1572</v>
      </c>
      <c r="F595" s="18" t="s">
        <v>1779</v>
      </c>
      <c r="G595" s="8"/>
      <c r="H595" s="8">
        <v>25</v>
      </c>
      <c r="I595" s="8">
        <v>9</v>
      </c>
      <c r="J595" s="8"/>
      <c r="K595" s="8">
        <f>+G595+H595-I595+J595</f>
        <v>16</v>
      </c>
      <c r="L595" s="8"/>
      <c r="M595" s="9">
        <v>295</v>
      </c>
      <c r="N595" s="9">
        <f>+M595*H595</f>
        <v>7375</v>
      </c>
      <c r="O595" s="9"/>
      <c r="P595" s="9"/>
      <c r="Q595" s="10" t="s">
        <v>25</v>
      </c>
    </row>
    <row r="596" spans="1:17" s="11" customFormat="1" ht="20.25" customHeight="1" x14ac:dyDescent="0.3">
      <c r="A596" s="18" t="s">
        <v>1110</v>
      </c>
      <c r="B596" s="23" t="s">
        <v>257</v>
      </c>
      <c r="C596" s="8"/>
      <c r="D596" s="12" t="s">
        <v>2394</v>
      </c>
      <c r="E596" s="12" t="s">
        <v>1406</v>
      </c>
      <c r="F596" s="18" t="s">
        <v>1779</v>
      </c>
      <c r="G596" s="8">
        <v>10</v>
      </c>
      <c r="H596" s="8"/>
      <c r="I596" s="8">
        <f>1+4+4</f>
        <v>9</v>
      </c>
      <c r="J596" s="8"/>
      <c r="K596" s="8">
        <f>+G596+H596-I596+J596</f>
        <v>1</v>
      </c>
      <c r="L596" s="8"/>
      <c r="M596" s="9"/>
      <c r="N596" s="9">
        <f>+K596*M596</f>
        <v>0</v>
      </c>
      <c r="O596" s="9">
        <v>682</v>
      </c>
      <c r="P596" s="9">
        <f>+K596*O596</f>
        <v>682</v>
      </c>
      <c r="Q596" s="10"/>
    </row>
    <row r="597" spans="1:17" s="11" customFormat="1" ht="39.950000000000003" customHeight="1" x14ac:dyDescent="0.3">
      <c r="A597" s="18" t="s">
        <v>1111</v>
      </c>
      <c r="B597" s="23" t="s">
        <v>257</v>
      </c>
      <c r="C597" s="8">
        <v>10</v>
      </c>
      <c r="D597" s="12" t="s">
        <v>2385</v>
      </c>
      <c r="E597" s="12" t="s">
        <v>1551</v>
      </c>
      <c r="F597" s="18" t="s">
        <v>1779</v>
      </c>
      <c r="G597" s="8">
        <f>35-1</f>
        <v>34</v>
      </c>
      <c r="H597" s="8"/>
      <c r="I597" s="8">
        <f>3+1+1+1+2+1+1+2+1+1+1+1+1</f>
        <v>17</v>
      </c>
      <c r="J597" s="8"/>
      <c r="K597" s="8">
        <f t="shared" ref="K597:K602" si="55">+G597+H597+-I597</f>
        <v>17</v>
      </c>
      <c r="L597" s="8"/>
      <c r="M597" s="9">
        <v>70</v>
      </c>
      <c r="N597" s="9">
        <f>+K597*M597</f>
        <v>1190</v>
      </c>
      <c r="O597" s="9"/>
      <c r="P597" s="9"/>
      <c r="Q597" s="10" t="s">
        <v>297</v>
      </c>
    </row>
    <row r="598" spans="1:17" s="11" customFormat="1" ht="39.950000000000003" customHeight="1" x14ac:dyDescent="0.3">
      <c r="A598" s="18" t="s">
        <v>1112</v>
      </c>
      <c r="B598" s="23" t="s">
        <v>257</v>
      </c>
      <c r="C598" s="8">
        <v>10</v>
      </c>
      <c r="D598" s="12" t="s">
        <v>2385</v>
      </c>
      <c r="E598" s="12" t="s">
        <v>2421</v>
      </c>
      <c r="F598" s="18" t="s">
        <v>1779</v>
      </c>
      <c r="G598" s="8">
        <v>35</v>
      </c>
      <c r="H598" s="8"/>
      <c r="I598" s="8">
        <f>1+1+1+4+1</f>
        <v>8</v>
      </c>
      <c r="J598" s="8"/>
      <c r="K598" s="8">
        <f t="shared" si="55"/>
        <v>27</v>
      </c>
      <c r="L598" s="8"/>
      <c r="M598" s="9">
        <v>4.5199999999999996</v>
      </c>
      <c r="N598" s="9">
        <f>+K598*M598</f>
        <v>122.03999999999999</v>
      </c>
      <c r="O598" s="9"/>
      <c r="P598" s="9"/>
      <c r="Q598" s="10" t="s">
        <v>297</v>
      </c>
    </row>
    <row r="599" spans="1:17" s="11" customFormat="1" ht="39.950000000000003" customHeight="1" x14ac:dyDescent="0.3">
      <c r="A599" s="18" t="s">
        <v>1113</v>
      </c>
      <c r="B599" s="23" t="s">
        <v>257</v>
      </c>
      <c r="C599" s="8">
        <v>10</v>
      </c>
      <c r="D599" s="12" t="s">
        <v>2385</v>
      </c>
      <c r="E599" s="12" t="s">
        <v>360</v>
      </c>
      <c r="F599" s="18" t="s">
        <v>1779</v>
      </c>
      <c r="G599" s="8">
        <v>25</v>
      </c>
      <c r="H599" s="8"/>
      <c r="I599" s="8"/>
      <c r="J599" s="8"/>
      <c r="K599" s="8">
        <f t="shared" si="55"/>
        <v>25</v>
      </c>
      <c r="L599" s="8"/>
      <c r="M599" s="9">
        <v>44.17</v>
      </c>
      <c r="N599" s="9">
        <f>+K599*M599</f>
        <v>1104.25</v>
      </c>
      <c r="O599" s="9"/>
      <c r="P599" s="9"/>
      <c r="Q599" s="10" t="s">
        <v>297</v>
      </c>
    </row>
    <row r="600" spans="1:17" s="11" customFormat="1" ht="40.5" x14ac:dyDescent="0.3">
      <c r="A600" s="18" t="s">
        <v>1114</v>
      </c>
      <c r="B600" s="23"/>
      <c r="C600" s="8"/>
      <c r="D600" s="12" t="s">
        <v>2438</v>
      </c>
      <c r="E600" s="12" t="s">
        <v>1641</v>
      </c>
      <c r="F600" s="8" t="s">
        <v>1780</v>
      </c>
      <c r="G600" s="8"/>
      <c r="H600" s="8">
        <v>150</v>
      </c>
      <c r="I600" s="8">
        <f>12+4+1+1+1+4+3+1+3+1+1+3+1+4+2+1+1+1+5+1+3+1</f>
        <v>55</v>
      </c>
      <c r="J600" s="8"/>
      <c r="K600" s="8">
        <f t="shared" si="55"/>
        <v>95</v>
      </c>
      <c r="L600" s="8">
        <v>111</v>
      </c>
      <c r="M600" s="9">
        <v>133</v>
      </c>
      <c r="N600" s="9"/>
      <c r="O600" s="10"/>
      <c r="P600" s="56"/>
      <c r="Q600" s="10" t="s">
        <v>235</v>
      </c>
    </row>
    <row r="601" spans="1:17" s="11" customFormat="1" ht="40.5" x14ac:dyDescent="0.3">
      <c r="A601" s="18" t="s">
        <v>1115</v>
      </c>
      <c r="B601" s="23"/>
      <c r="C601" s="8"/>
      <c r="D601" s="12" t="s">
        <v>2438</v>
      </c>
      <c r="E601" s="12" t="s">
        <v>1643</v>
      </c>
      <c r="F601" s="8" t="s">
        <v>1780</v>
      </c>
      <c r="G601" s="8">
        <v>88</v>
      </c>
      <c r="H601" s="8"/>
      <c r="I601" s="8">
        <f>1+2+1+1+3+1+2+1+1+3+35+1+1+1+3+1+1+2+2</f>
        <v>63</v>
      </c>
      <c r="J601" s="9"/>
      <c r="K601" s="10">
        <f t="shared" si="55"/>
        <v>25</v>
      </c>
      <c r="L601" s="10">
        <v>15</v>
      </c>
      <c r="M601" s="10">
        <v>133</v>
      </c>
      <c r="N601" s="10">
        <f t="shared" ref="N601:N608" si="56">+K601*M601</f>
        <v>3325</v>
      </c>
      <c r="O601" s="10"/>
      <c r="P601" s="10"/>
      <c r="Q601" s="10" t="s">
        <v>235</v>
      </c>
    </row>
    <row r="602" spans="1:17" s="11" customFormat="1" ht="20.25" x14ac:dyDescent="0.3">
      <c r="A602" s="18" t="s">
        <v>1116</v>
      </c>
      <c r="B602" s="23">
        <v>45797</v>
      </c>
      <c r="C602" s="8"/>
      <c r="D602" s="12" t="s">
        <v>2321</v>
      </c>
      <c r="E602" s="12" t="s">
        <v>1827</v>
      </c>
      <c r="F602" s="18" t="s">
        <v>1779</v>
      </c>
      <c r="G602" s="8"/>
      <c r="H602" s="8">
        <v>36</v>
      </c>
      <c r="I602" s="8"/>
      <c r="J602" s="8"/>
      <c r="K602" s="8">
        <f t="shared" si="55"/>
        <v>36</v>
      </c>
      <c r="L602" s="8"/>
      <c r="M602" s="9">
        <v>94</v>
      </c>
      <c r="N602" s="9">
        <f t="shared" si="56"/>
        <v>3384</v>
      </c>
      <c r="O602" s="9"/>
      <c r="P602" s="9"/>
      <c r="Q602" s="10" t="s">
        <v>433</v>
      </c>
    </row>
    <row r="603" spans="1:17" s="11" customFormat="1" ht="20.25" x14ac:dyDescent="0.3">
      <c r="A603" s="18" t="s">
        <v>1117</v>
      </c>
      <c r="B603" s="23">
        <v>45631</v>
      </c>
      <c r="C603" s="8"/>
      <c r="D603" s="12" t="s">
        <v>2388</v>
      </c>
      <c r="E603" s="12" t="s">
        <v>1391</v>
      </c>
      <c r="F603" s="18" t="s">
        <v>1779</v>
      </c>
      <c r="G603" s="8">
        <v>4</v>
      </c>
      <c r="H603" s="8"/>
      <c r="I603" s="8">
        <v>4</v>
      </c>
      <c r="J603" s="8"/>
      <c r="K603" s="8">
        <f>+G603+H603-I603+J603</f>
        <v>0</v>
      </c>
      <c r="L603" s="8"/>
      <c r="M603" s="9">
        <v>348.1</v>
      </c>
      <c r="N603" s="9">
        <f t="shared" si="56"/>
        <v>0</v>
      </c>
      <c r="O603" s="9"/>
      <c r="P603" s="9"/>
      <c r="Q603" s="10" t="s">
        <v>1541</v>
      </c>
    </row>
    <row r="604" spans="1:17" s="11" customFormat="1" ht="40.5" x14ac:dyDescent="0.3">
      <c r="A604" s="18" t="s">
        <v>1118</v>
      </c>
      <c r="B604" s="23"/>
      <c r="C604" s="8"/>
      <c r="D604" s="12" t="s">
        <v>2320</v>
      </c>
      <c r="E604" s="12" t="s">
        <v>1613</v>
      </c>
      <c r="F604" s="18" t="s">
        <v>1779</v>
      </c>
      <c r="G604" s="8">
        <v>46</v>
      </c>
      <c r="H604" s="8"/>
      <c r="I604" s="8">
        <f>5+3+1</f>
        <v>9</v>
      </c>
      <c r="J604" s="8"/>
      <c r="K604" s="8">
        <f>+G604+H604-I604</f>
        <v>37</v>
      </c>
      <c r="L604" s="8"/>
      <c r="M604" s="9">
        <v>142</v>
      </c>
      <c r="N604" s="9">
        <f t="shared" si="56"/>
        <v>5254</v>
      </c>
      <c r="O604" s="9"/>
      <c r="P604" s="9"/>
      <c r="Q604" s="10" t="s">
        <v>140</v>
      </c>
    </row>
    <row r="605" spans="1:17" s="11" customFormat="1" ht="40.5" x14ac:dyDescent="0.3">
      <c r="A605" s="18" t="s">
        <v>1119</v>
      </c>
      <c r="B605" s="23"/>
      <c r="C605" s="8"/>
      <c r="D605" s="12" t="s">
        <v>2320</v>
      </c>
      <c r="E605" s="12" t="s">
        <v>1224</v>
      </c>
      <c r="F605" s="18" t="s">
        <v>1779</v>
      </c>
      <c r="G605" s="8">
        <v>3</v>
      </c>
      <c r="H605" s="8"/>
      <c r="I605" s="8"/>
      <c r="J605" s="8"/>
      <c r="K605" s="8">
        <f>+G605+H605-I605</f>
        <v>3</v>
      </c>
      <c r="L605" s="8"/>
      <c r="M605" s="9">
        <v>130</v>
      </c>
      <c r="N605" s="9">
        <f t="shared" si="56"/>
        <v>390</v>
      </c>
      <c r="O605" s="9"/>
      <c r="P605" s="9"/>
      <c r="Q605" s="10" t="s">
        <v>140</v>
      </c>
    </row>
    <row r="606" spans="1:17" s="11" customFormat="1" ht="40.5" x14ac:dyDescent="0.3">
      <c r="A606" s="18" t="s">
        <v>1120</v>
      </c>
      <c r="B606" s="23"/>
      <c r="C606" s="8"/>
      <c r="D606" s="12" t="s">
        <v>2320</v>
      </c>
      <c r="E606" s="12" t="s">
        <v>1614</v>
      </c>
      <c r="F606" s="18" t="s">
        <v>1779</v>
      </c>
      <c r="G606" s="8"/>
      <c r="H606" s="8">
        <v>20</v>
      </c>
      <c r="I606" s="8">
        <v>1</v>
      </c>
      <c r="J606" s="8"/>
      <c r="K606" s="8">
        <f>+G606+H606-I606+J606</f>
        <v>19</v>
      </c>
      <c r="L606" s="8"/>
      <c r="M606" s="9">
        <v>95.13</v>
      </c>
      <c r="N606" s="9">
        <f t="shared" si="56"/>
        <v>1807.4699999999998</v>
      </c>
      <c r="O606" s="9"/>
      <c r="P606" s="9"/>
      <c r="Q606" s="10" t="s">
        <v>1314</v>
      </c>
    </row>
    <row r="607" spans="1:17" s="11" customFormat="1" ht="20.25" x14ac:dyDescent="0.3">
      <c r="A607" s="18" t="s">
        <v>1121</v>
      </c>
      <c r="B607" s="23"/>
      <c r="C607" s="8"/>
      <c r="D607" s="12" t="s">
        <v>2385</v>
      </c>
      <c r="E607" s="12" t="s">
        <v>355</v>
      </c>
      <c r="F607" s="18" t="s">
        <v>1779</v>
      </c>
      <c r="G607" s="8">
        <v>2</v>
      </c>
      <c r="H607" s="8"/>
      <c r="I607" s="8"/>
      <c r="J607" s="8"/>
      <c r="K607" s="8">
        <f>+G607+H607+-I607</f>
        <v>2</v>
      </c>
      <c r="L607" s="8"/>
      <c r="M607" s="9"/>
      <c r="N607" s="9">
        <f t="shared" si="56"/>
        <v>0</v>
      </c>
      <c r="O607" s="9"/>
      <c r="P607" s="9"/>
      <c r="Q607" s="10" t="s">
        <v>297</v>
      </c>
    </row>
    <row r="608" spans="1:17" s="11" customFormat="1" ht="20.25" x14ac:dyDescent="0.3">
      <c r="A608" s="18" t="s">
        <v>1122</v>
      </c>
      <c r="B608" s="23"/>
      <c r="C608" s="8"/>
      <c r="D608" s="12" t="s">
        <v>2385</v>
      </c>
      <c r="E608" s="12" t="s">
        <v>361</v>
      </c>
      <c r="F608" s="18" t="s">
        <v>1779</v>
      </c>
      <c r="G608" s="8">
        <v>25</v>
      </c>
      <c r="H608" s="8"/>
      <c r="I608" s="8">
        <f>1+2+5+1+3+5+2+4</f>
        <v>23</v>
      </c>
      <c r="J608" s="8"/>
      <c r="K608" s="8">
        <f>+G608+H608+-I608</f>
        <v>2</v>
      </c>
      <c r="L608" s="8"/>
      <c r="M608" s="9">
        <v>23.68</v>
      </c>
      <c r="N608" s="9">
        <f t="shared" si="56"/>
        <v>47.36</v>
      </c>
      <c r="O608" s="9"/>
      <c r="P608" s="9"/>
      <c r="Q608" s="10" t="s">
        <v>297</v>
      </c>
    </row>
    <row r="609" spans="1:17" s="11" customFormat="1" ht="40.5" customHeight="1" x14ac:dyDescent="0.3">
      <c r="A609" s="18" t="s">
        <v>1123</v>
      </c>
      <c r="B609" s="19">
        <v>45828</v>
      </c>
      <c r="C609" s="20">
        <v>10</v>
      </c>
      <c r="D609" s="12" t="s">
        <v>2385</v>
      </c>
      <c r="E609" s="12" t="s">
        <v>2215</v>
      </c>
      <c r="F609" s="21" t="s">
        <v>1779</v>
      </c>
      <c r="G609" s="8"/>
      <c r="H609" s="8">
        <v>5</v>
      </c>
      <c r="I609" s="8"/>
      <c r="J609" s="8"/>
      <c r="K609" s="8">
        <f>+G609+H609-I609+J609</f>
        <v>5</v>
      </c>
      <c r="L609" s="8"/>
      <c r="M609" s="9">
        <v>801</v>
      </c>
      <c r="N609" s="9"/>
      <c r="O609" s="9"/>
      <c r="P609" s="9"/>
      <c r="Q609" s="10" t="s">
        <v>2218</v>
      </c>
    </row>
    <row r="610" spans="1:17" s="11" customFormat="1" ht="41.25" customHeight="1" x14ac:dyDescent="0.3">
      <c r="A610" s="18" t="s">
        <v>1124</v>
      </c>
      <c r="B610" s="23"/>
      <c r="C610" s="8"/>
      <c r="D610" s="12" t="s">
        <v>2385</v>
      </c>
      <c r="E610" s="12" t="s">
        <v>362</v>
      </c>
      <c r="F610" s="18" t="s">
        <v>1779</v>
      </c>
      <c r="G610" s="8">
        <f>16-1</f>
        <v>15</v>
      </c>
      <c r="H610" s="8"/>
      <c r="I610" s="8">
        <f>2+1+1+1</f>
        <v>5</v>
      </c>
      <c r="J610" s="8"/>
      <c r="K610" s="8">
        <f>+G610+H610+-I610</f>
        <v>10</v>
      </c>
      <c r="L610" s="8"/>
      <c r="M610" s="9">
        <v>265.95</v>
      </c>
      <c r="N610" s="9">
        <f t="shared" ref="N610:N620" si="57">+K610*M610</f>
        <v>2659.5</v>
      </c>
      <c r="O610" s="9"/>
      <c r="P610" s="9"/>
      <c r="Q610" s="10" t="s">
        <v>297</v>
      </c>
    </row>
    <row r="611" spans="1:17" s="11" customFormat="1" ht="20.25" x14ac:dyDescent="0.3">
      <c r="A611" s="18" t="s">
        <v>1125</v>
      </c>
      <c r="B611" s="23" t="s">
        <v>1971</v>
      </c>
      <c r="C611" s="8">
        <v>10</v>
      </c>
      <c r="D611" s="12" t="s">
        <v>2324</v>
      </c>
      <c r="E611" s="12" t="s">
        <v>2007</v>
      </c>
      <c r="F611" s="18" t="s">
        <v>1779</v>
      </c>
      <c r="G611" s="8"/>
      <c r="H611" s="8">
        <v>40</v>
      </c>
      <c r="I611" s="8"/>
      <c r="J611" s="8"/>
      <c r="K611" s="8">
        <f>+G611+H611-I611+J611</f>
        <v>40</v>
      </c>
      <c r="L611" s="8"/>
      <c r="M611" s="9">
        <v>58</v>
      </c>
      <c r="N611" s="9">
        <f t="shared" si="57"/>
        <v>2320</v>
      </c>
      <c r="O611" s="9"/>
      <c r="P611" s="9"/>
      <c r="Q611" s="10" t="s">
        <v>1191</v>
      </c>
    </row>
    <row r="612" spans="1:17" s="11" customFormat="1" ht="40.5" customHeight="1" x14ac:dyDescent="0.3">
      <c r="A612" s="18" t="s">
        <v>1126</v>
      </c>
      <c r="B612" s="23" t="s">
        <v>1971</v>
      </c>
      <c r="C612" s="8">
        <v>10</v>
      </c>
      <c r="D612" s="12" t="s">
        <v>2324</v>
      </c>
      <c r="E612" s="12" t="s">
        <v>2008</v>
      </c>
      <c r="F612" s="18" t="s">
        <v>1779</v>
      </c>
      <c r="G612" s="8"/>
      <c r="H612" s="8">
        <v>40</v>
      </c>
      <c r="I612" s="8">
        <v>1</v>
      </c>
      <c r="J612" s="8"/>
      <c r="K612" s="8">
        <f>+G612+H612-I612+J612</f>
        <v>39</v>
      </c>
      <c r="L612" s="8"/>
      <c r="M612" s="9">
        <v>58</v>
      </c>
      <c r="N612" s="9">
        <f t="shared" si="57"/>
        <v>2262</v>
      </c>
      <c r="O612" s="9"/>
      <c r="P612" s="9"/>
      <c r="Q612" s="10" t="s">
        <v>1191</v>
      </c>
    </row>
    <row r="613" spans="1:17" s="11" customFormat="1" ht="41.25" customHeight="1" x14ac:dyDescent="0.3">
      <c r="A613" s="18" t="s">
        <v>1127</v>
      </c>
      <c r="B613" s="23" t="s">
        <v>1971</v>
      </c>
      <c r="C613" s="8">
        <v>10</v>
      </c>
      <c r="D613" s="12" t="s">
        <v>2324</v>
      </c>
      <c r="E613" s="12" t="s">
        <v>2009</v>
      </c>
      <c r="F613" s="18" t="s">
        <v>1779</v>
      </c>
      <c r="G613" s="8"/>
      <c r="H613" s="8">
        <v>40</v>
      </c>
      <c r="I613" s="8">
        <v>1</v>
      </c>
      <c r="J613" s="8"/>
      <c r="K613" s="8">
        <v>40</v>
      </c>
      <c r="L613" s="8"/>
      <c r="M613" s="9">
        <v>58</v>
      </c>
      <c r="N613" s="9">
        <f t="shared" si="57"/>
        <v>2320</v>
      </c>
      <c r="O613" s="9"/>
      <c r="P613" s="9"/>
      <c r="Q613" s="10" t="s">
        <v>1191</v>
      </c>
    </row>
    <row r="614" spans="1:17" s="11" customFormat="1" ht="20.25" x14ac:dyDescent="0.3">
      <c r="A614" s="18" t="s">
        <v>1128</v>
      </c>
      <c r="B614" s="23" t="s">
        <v>1971</v>
      </c>
      <c r="C614" s="8">
        <v>10</v>
      </c>
      <c r="D614" s="12" t="s">
        <v>2324</v>
      </c>
      <c r="E614" s="12" t="s">
        <v>2011</v>
      </c>
      <c r="F614" s="18" t="s">
        <v>1779</v>
      </c>
      <c r="G614" s="8"/>
      <c r="H614" s="8">
        <v>50</v>
      </c>
      <c r="I614" s="8"/>
      <c r="J614" s="8"/>
      <c r="K614" s="8">
        <f t="shared" ref="K614:K622" si="58">+G614+H614-I614+J614</f>
        <v>50</v>
      </c>
      <c r="L614" s="8"/>
      <c r="M614" s="9">
        <v>32</v>
      </c>
      <c r="N614" s="9">
        <f t="shared" si="57"/>
        <v>1600</v>
      </c>
      <c r="O614" s="9"/>
      <c r="P614" s="9"/>
      <c r="Q614" s="10" t="s">
        <v>1191</v>
      </c>
    </row>
    <row r="615" spans="1:17" s="11" customFormat="1" ht="20.25" x14ac:dyDescent="0.3">
      <c r="A615" s="18" t="s">
        <v>1129</v>
      </c>
      <c r="B615" s="23">
        <v>45803</v>
      </c>
      <c r="C615" s="8">
        <v>10</v>
      </c>
      <c r="D615" s="12" t="s">
        <v>2324</v>
      </c>
      <c r="E615" s="12" t="s">
        <v>2012</v>
      </c>
      <c r="F615" s="18" t="s">
        <v>1779</v>
      </c>
      <c r="G615" s="8"/>
      <c r="H615" s="8">
        <v>50</v>
      </c>
      <c r="I615" s="8"/>
      <c r="J615" s="8"/>
      <c r="K615" s="8">
        <f t="shared" si="58"/>
        <v>50</v>
      </c>
      <c r="L615" s="8"/>
      <c r="M615" s="9">
        <v>32</v>
      </c>
      <c r="N615" s="9">
        <f t="shared" si="57"/>
        <v>1600</v>
      </c>
      <c r="O615" s="9"/>
      <c r="P615" s="9"/>
      <c r="Q615" s="10" t="s">
        <v>1191</v>
      </c>
    </row>
    <row r="616" spans="1:17" s="11" customFormat="1" ht="20.25" x14ac:dyDescent="0.3">
      <c r="A616" s="18" t="s">
        <v>1130</v>
      </c>
      <c r="B616" s="23" t="s">
        <v>1971</v>
      </c>
      <c r="C616" s="8">
        <v>10</v>
      </c>
      <c r="D616" s="12" t="s">
        <v>2324</v>
      </c>
      <c r="E616" s="12" t="s">
        <v>2010</v>
      </c>
      <c r="F616" s="18" t="s">
        <v>1779</v>
      </c>
      <c r="G616" s="8"/>
      <c r="H616" s="8">
        <v>40</v>
      </c>
      <c r="I616" s="8">
        <v>1</v>
      </c>
      <c r="J616" s="8"/>
      <c r="K616" s="8">
        <f t="shared" si="58"/>
        <v>39</v>
      </c>
      <c r="L616" s="8"/>
      <c r="M616" s="9">
        <v>58</v>
      </c>
      <c r="N616" s="9">
        <f t="shared" si="57"/>
        <v>2262</v>
      </c>
      <c r="O616" s="9"/>
      <c r="P616" s="9"/>
      <c r="Q616" s="10" t="s">
        <v>1191</v>
      </c>
    </row>
    <row r="617" spans="1:17" s="11" customFormat="1" ht="20.25" x14ac:dyDescent="0.3">
      <c r="A617" s="18" t="s">
        <v>1131</v>
      </c>
      <c r="B617" s="23"/>
      <c r="C617" s="8"/>
      <c r="D617" s="12" t="s">
        <v>2324</v>
      </c>
      <c r="E617" s="12" t="s">
        <v>1294</v>
      </c>
      <c r="F617" s="18" t="s">
        <v>1779</v>
      </c>
      <c r="G617" s="8"/>
      <c r="H617" s="8">
        <v>20</v>
      </c>
      <c r="I617" s="8">
        <v>1</v>
      </c>
      <c r="J617" s="8"/>
      <c r="K617" s="8">
        <f t="shared" si="58"/>
        <v>19</v>
      </c>
      <c r="L617" s="8"/>
      <c r="M617" s="9">
        <v>38</v>
      </c>
      <c r="N617" s="9">
        <f t="shared" si="57"/>
        <v>722</v>
      </c>
      <c r="O617" s="9"/>
      <c r="P617" s="9"/>
      <c r="Q617" s="10" t="s">
        <v>1191</v>
      </c>
    </row>
    <row r="618" spans="1:17" s="11" customFormat="1" ht="20.25" x14ac:dyDescent="0.3">
      <c r="A618" s="18" t="s">
        <v>1132</v>
      </c>
      <c r="B618" s="23" t="s">
        <v>257</v>
      </c>
      <c r="C618" s="8"/>
      <c r="D618" s="12" t="s">
        <v>2324</v>
      </c>
      <c r="E618" s="12" t="s">
        <v>1297</v>
      </c>
      <c r="F618" s="18" t="s">
        <v>1779</v>
      </c>
      <c r="G618" s="8"/>
      <c r="H618" s="8">
        <v>40</v>
      </c>
      <c r="I618" s="8">
        <v>4</v>
      </c>
      <c r="J618" s="8"/>
      <c r="K618" s="8">
        <f t="shared" si="58"/>
        <v>36</v>
      </c>
      <c r="L618" s="8"/>
      <c r="M618" s="9">
        <v>42.72</v>
      </c>
      <c r="N618" s="9">
        <f t="shared" si="57"/>
        <v>1537.92</v>
      </c>
      <c r="O618" s="9"/>
      <c r="P618" s="9"/>
      <c r="Q618" s="10" t="s">
        <v>1191</v>
      </c>
    </row>
    <row r="619" spans="1:17" s="11" customFormat="1" ht="41.25" customHeight="1" x14ac:dyDescent="0.3">
      <c r="A619" s="18" t="s">
        <v>1133</v>
      </c>
      <c r="B619" s="23" t="s">
        <v>257</v>
      </c>
      <c r="C619" s="8"/>
      <c r="D619" s="12" t="s">
        <v>2324</v>
      </c>
      <c r="E619" s="12" t="s">
        <v>1295</v>
      </c>
      <c r="F619" s="18" t="s">
        <v>1779</v>
      </c>
      <c r="G619" s="8"/>
      <c r="H619" s="8">
        <v>40</v>
      </c>
      <c r="I619" s="8">
        <v>2</v>
      </c>
      <c r="J619" s="8"/>
      <c r="K619" s="8">
        <f t="shared" si="58"/>
        <v>38</v>
      </c>
      <c r="L619" s="8"/>
      <c r="M619" s="9">
        <v>94.64</v>
      </c>
      <c r="N619" s="9">
        <f t="shared" si="57"/>
        <v>3596.32</v>
      </c>
      <c r="O619" s="9"/>
      <c r="P619" s="9"/>
      <c r="Q619" s="10" t="s">
        <v>1191</v>
      </c>
    </row>
    <row r="620" spans="1:17" s="11" customFormat="1" ht="23.25" customHeight="1" x14ac:dyDescent="0.3">
      <c r="A620" s="18" t="s">
        <v>1134</v>
      </c>
      <c r="B620" s="23"/>
      <c r="C620" s="8"/>
      <c r="D620" s="12" t="s">
        <v>2324</v>
      </c>
      <c r="E620" s="12" t="s">
        <v>1293</v>
      </c>
      <c r="F620" s="18" t="s">
        <v>1779</v>
      </c>
      <c r="G620" s="8"/>
      <c r="H620" s="8">
        <v>20</v>
      </c>
      <c r="I620" s="8"/>
      <c r="J620" s="8"/>
      <c r="K620" s="8">
        <f t="shared" si="58"/>
        <v>20</v>
      </c>
      <c r="L620" s="8"/>
      <c r="M620" s="9">
        <v>33.630000000000003</v>
      </c>
      <c r="N620" s="9">
        <f t="shared" si="57"/>
        <v>672.6</v>
      </c>
      <c r="O620" s="9"/>
      <c r="P620" s="9"/>
      <c r="Q620" s="10" t="s">
        <v>1191</v>
      </c>
    </row>
    <row r="621" spans="1:17" s="11" customFormat="1" ht="39.950000000000003" customHeight="1" x14ac:dyDescent="0.3">
      <c r="A621" s="18" t="s">
        <v>1135</v>
      </c>
      <c r="B621" s="23" t="s">
        <v>4</v>
      </c>
      <c r="C621" s="8"/>
      <c r="D621" s="12" t="s">
        <v>2324</v>
      </c>
      <c r="E621" s="12" t="s">
        <v>120</v>
      </c>
      <c r="F621" s="18" t="s">
        <v>1779</v>
      </c>
      <c r="G621" s="8">
        <v>7</v>
      </c>
      <c r="H621" s="8"/>
      <c r="I621" s="8">
        <v>2</v>
      </c>
      <c r="J621" s="8">
        <v>10</v>
      </c>
      <c r="K621" s="8">
        <f t="shared" si="58"/>
        <v>15</v>
      </c>
      <c r="L621" s="8"/>
      <c r="M621" s="9">
        <v>46</v>
      </c>
      <c r="N621" s="9">
        <f>+G621*M621</f>
        <v>322</v>
      </c>
      <c r="O621" s="9">
        <v>46</v>
      </c>
      <c r="P621" s="9">
        <f>+O621*J621</f>
        <v>460</v>
      </c>
      <c r="Q621" s="10" t="s">
        <v>109</v>
      </c>
    </row>
    <row r="622" spans="1:17" s="11" customFormat="1" ht="39.950000000000003" customHeight="1" x14ac:dyDescent="0.3">
      <c r="A622" s="18" t="s">
        <v>1136</v>
      </c>
      <c r="B622" s="23" t="s">
        <v>257</v>
      </c>
      <c r="C622" s="8"/>
      <c r="D622" s="12" t="s">
        <v>2324</v>
      </c>
      <c r="E622" s="12" t="s">
        <v>1296</v>
      </c>
      <c r="F622" s="18" t="s">
        <v>1779</v>
      </c>
      <c r="G622" s="8"/>
      <c r="H622" s="8">
        <v>20</v>
      </c>
      <c r="I622" s="8"/>
      <c r="J622" s="8"/>
      <c r="K622" s="8">
        <f t="shared" si="58"/>
        <v>20</v>
      </c>
      <c r="L622" s="8"/>
      <c r="M622" s="9">
        <v>25.08</v>
      </c>
      <c r="N622" s="9">
        <f>+K622*M622</f>
        <v>501.59999999999997</v>
      </c>
      <c r="O622" s="9"/>
      <c r="P622" s="9"/>
      <c r="Q622" s="10" t="s">
        <v>1191</v>
      </c>
    </row>
    <row r="623" spans="1:17" s="11" customFormat="1" ht="39.950000000000003" customHeight="1" x14ac:dyDescent="0.3">
      <c r="A623" s="18" t="s">
        <v>1137</v>
      </c>
      <c r="B623" s="23" t="s">
        <v>4</v>
      </c>
      <c r="C623" s="8"/>
      <c r="D623" s="12" t="s">
        <v>2324</v>
      </c>
      <c r="E623" s="12" t="s">
        <v>1189</v>
      </c>
      <c r="F623" s="18" t="s">
        <v>1779</v>
      </c>
      <c r="G623" s="8">
        <v>10</v>
      </c>
      <c r="H623" s="8"/>
      <c r="I623" s="8"/>
      <c r="J623" s="8"/>
      <c r="K623" s="8">
        <f>+G623+H623-I623</f>
        <v>10</v>
      </c>
      <c r="L623" s="8"/>
      <c r="M623" s="9"/>
      <c r="N623" s="9"/>
      <c r="O623" s="9">
        <v>72</v>
      </c>
      <c r="P623" s="9">
        <f>+K623*O623</f>
        <v>720</v>
      </c>
      <c r="Q623" s="10" t="s">
        <v>109</v>
      </c>
    </row>
    <row r="624" spans="1:17" s="11" customFormat="1" ht="39.950000000000003" customHeight="1" x14ac:dyDescent="0.3">
      <c r="A624" s="18" t="s">
        <v>1138</v>
      </c>
      <c r="B624" s="23" t="s">
        <v>4</v>
      </c>
      <c r="C624" s="8"/>
      <c r="D624" s="12" t="s">
        <v>2324</v>
      </c>
      <c r="E624" s="12" t="s">
        <v>1190</v>
      </c>
      <c r="F624" s="18" t="s">
        <v>1779</v>
      </c>
      <c r="G624" s="8">
        <v>10</v>
      </c>
      <c r="H624" s="8">
        <v>17</v>
      </c>
      <c r="I624" s="8"/>
      <c r="J624" s="8"/>
      <c r="K624" s="8">
        <f>+G624+H624-I624</f>
        <v>27</v>
      </c>
      <c r="L624" s="8"/>
      <c r="M624" s="9"/>
      <c r="N624" s="9"/>
      <c r="O624" s="9">
        <v>48</v>
      </c>
      <c r="P624" s="9">
        <f>+K624*O624</f>
        <v>1296</v>
      </c>
      <c r="Q624" s="10" t="s">
        <v>109</v>
      </c>
    </row>
    <row r="625" spans="1:17" s="11" customFormat="1" ht="39.950000000000003" customHeight="1" x14ac:dyDescent="0.3">
      <c r="A625" s="18" t="s">
        <v>1139</v>
      </c>
      <c r="B625" s="23"/>
      <c r="C625" s="8"/>
      <c r="D625" s="12" t="s">
        <v>2318</v>
      </c>
      <c r="E625" s="12" t="s">
        <v>1425</v>
      </c>
      <c r="F625" s="18" t="s">
        <v>1779</v>
      </c>
      <c r="G625" s="8"/>
      <c r="H625" s="8">
        <v>5</v>
      </c>
      <c r="I625" s="8"/>
      <c r="J625" s="8"/>
      <c r="K625" s="8">
        <f>+G625+H625-I625+J625</f>
        <v>5</v>
      </c>
      <c r="L625" s="8"/>
      <c r="M625" s="9">
        <v>188.8</v>
      </c>
      <c r="N625" s="9">
        <f t="shared" ref="N625:N635" si="59">+K625*M625</f>
        <v>944</v>
      </c>
      <c r="O625" s="9"/>
      <c r="P625" s="9"/>
      <c r="Q625" s="10" t="s">
        <v>1321</v>
      </c>
    </row>
    <row r="626" spans="1:17" s="11" customFormat="1" ht="39.950000000000003" customHeight="1" x14ac:dyDescent="0.3">
      <c r="A626" s="18" t="s">
        <v>1140</v>
      </c>
      <c r="B626" s="23"/>
      <c r="C626" s="8"/>
      <c r="D626" s="12" t="s">
        <v>2438</v>
      </c>
      <c r="E626" s="12" t="s">
        <v>267</v>
      </c>
      <c r="F626" s="18" t="s">
        <v>1779</v>
      </c>
      <c r="G626" s="8">
        <f>24-1-1-1</f>
        <v>21</v>
      </c>
      <c r="H626" s="8"/>
      <c r="I626" s="8">
        <f>19+2</f>
        <v>21</v>
      </c>
      <c r="J626" s="8"/>
      <c r="K626" s="8">
        <f>+G626+H626+-I626</f>
        <v>0</v>
      </c>
      <c r="L626" s="8">
        <v>0</v>
      </c>
      <c r="M626" s="9">
        <v>155</v>
      </c>
      <c r="N626" s="9">
        <f t="shared" si="59"/>
        <v>0</v>
      </c>
      <c r="O626" s="9"/>
      <c r="P626" s="9"/>
      <c r="Q626" s="10" t="s">
        <v>235</v>
      </c>
    </row>
    <row r="627" spans="1:17" s="11" customFormat="1" ht="39.950000000000003" customHeight="1" x14ac:dyDescent="0.3">
      <c r="A627" s="18" t="s">
        <v>1141</v>
      </c>
      <c r="B627" s="23" t="s">
        <v>4</v>
      </c>
      <c r="C627" s="8"/>
      <c r="D627" s="12" t="s">
        <v>2438</v>
      </c>
      <c r="E627" s="12" t="s">
        <v>1978</v>
      </c>
      <c r="F627" s="18" t="s">
        <v>1779</v>
      </c>
      <c r="G627" s="8"/>
      <c r="H627" s="8">
        <f>25*6</f>
        <v>150</v>
      </c>
      <c r="I627" s="8">
        <f>4+1+3+4+3+1+1+1+5+3+2</f>
        <v>28</v>
      </c>
      <c r="J627" s="8"/>
      <c r="K627" s="8">
        <f>+G627+H627-I627+J627</f>
        <v>122</v>
      </c>
      <c r="L627" s="8">
        <v>124</v>
      </c>
      <c r="M627" s="9">
        <v>1480.9</v>
      </c>
      <c r="N627" s="9">
        <f t="shared" si="59"/>
        <v>180669.80000000002</v>
      </c>
      <c r="O627" s="9"/>
      <c r="P627" s="9"/>
      <c r="Q627" s="10" t="s">
        <v>235</v>
      </c>
    </row>
    <row r="628" spans="1:17" s="11" customFormat="1" ht="39.950000000000003" customHeight="1" x14ac:dyDescent="0.3">
      <c r="A628" s="18" t="s">
        <v>1142</v>
      </c>
      <c r="B628" s="23"/>
      <c r="C628" s="8"/>
      <c r="D628" s="12"/>
      <c r="E628" s="12" t="s">
        <v>179</v>
      </c>
      <c r="F628" s="18" t="s">
        <v>1779</v>
      </c>
      <c r="G628" s="8">
        <v>8</v>
      </c>
      <c r="H628" s="8"/>
      <c r="I628" s="8">
        <v>1</v>
      </c>
      <c r="J628" s="8"/>
      <c r="K628" s="8">
        <f>+G628+H628+-I628</f>
        <v>7</v>
      </c>
      <c r="L628" s="8">
        <v>7</v>
      </c>
      <c r="M628" s="9">
        <v>407</v>
      </c>
      <c r="N628" s="9">
        <f t="shared" si="59"/>
        <v>2849</v>
      </c>
      <c r="O628" s="9"/>
      <c r="P628" s="9"/>
      <c r="Q628" s="10" t="s">
        <v>159</v>
      </c>
    </row>
    <row r="629" spans="1:17" s="11" customFormat="1" ht="40.5" customHeight="1" x14ac:dyDescent="0.3">
      <c r="A629" s="18" t="s">
        <v>1143</v>
      </c>
      <c r="B629" s="23" t="s">
        <v>4</v>
      </c>
      <c r="C629" s="8"/>
      <c r="D629" s="12" t="s">
        <v>2438</v>
      </c>
      <c r="E629" s="12" t="s">
        <v>143</v>
      </c>
      <c r="F629" s="18" t="s">
        <v>1779</v>
      </c>
      <c r="G629" s="8">
        <v>2</v>
      </c>
      <c r="H629" s="8"/>
      <c r="I629" s="8">
        <v>2</v>
      </c>
      <c r="J629" s="8"/>
      <c r="K629" s="8">
        <f>+G629+H629-I629</f>
        <v>0</v>
      </c>
      <c r="L629" s="8"/>
      <c r="M629" s="9">
        <v>210</v>
      </c>
      <c r="N629" s="9">
        <f t="shared" si="59"/>
        <v>0</v>
      </c>
      <c r="O629" s="9"/>
      <c r="P629" s="9"/>
      <c r="Q629" s="10" t="s">
        <v>235</v>
      </c>
    </row>
    <row r="630" spans="1:17" s="11" customFormat="1" ht="20.25" customHeight="1" x14ac:dyDescent="0.3">
      <c r="A630" s="18" t="s">
        <v>1144</v>
      </c>
      <c r="B630" s="23" t="s">
        <v>4</v>
      </c>
      <c r="C630" s="8"/>
      <c r="D630" s="12" t="s">
        <v>2394</v>
      </c>
      <c r="E630" s="12" t="s">
        <v>1319</v>
      </c>
      <c r="F630" s="18" t="s">
        <v>1779</v>
      </c>
      <c r="G630" s="8"/>
      <c r="H630" s="8">
        <v>2</v>
      </c>
      <c r="I630" s="8"/>
      <c r="J630" s="8"/>
      <c r="K630" s="8">
        <f>+G630+H630-I630+J630</f>
        <v>2</v>
      </c>
      <c r="L630" s="8"/>
      <c r="M630" s="9">
        <v>3144.77</v>
      </c>
      <c r="N630" s="9">
        <f t="shared" si="59"/>
        <v>6289.54</v>
      </c>
      <c r="O630" s="9"/>
      <c r="P630" s="9"/>
      <c r="Q630" s="10" t="s">
        <v>1307</v>
      </c>
    </row>
    <row r="631" spans="1:17" s="11" customFormat="1" ht="23.25" customHeight="1" x14ac:dyDescent="0.3">
      <c r="A631" s="18" t="s">
        <v>1145</v>
      </c>
      <c r="B631" s="23" t="s">
        <v>4</v>
      </c>
      <c r="C631" s="8"/>
      <c r="D631" s="12" t="s">
        <v>2385</v>
      </c>
      <c r="E631" s="12" t="s">
        <v>363</v>
      </c>
      <c r="F631" s="18" t="s">
        <v>1779</v>
      </c>
      <c r="G631" s="8">
        <v>24</v>
      </c>
      <c r="H631" s="8"/>
      <c r="I631" s="8">
        <f>2+3+2+3+1+1</f>
        <v>12</v>
      </c>
      <c r="J631" s="8"/>
      <c r="K631" s="8">
        <f>+G631+H631+-I631</f>
        <v>12</v>
      </c>
      <c r="L631" s="8"/>
      <c r="M631" s="9">
        <v>167.79</v>
      </c>
      <c r="N631" s="9">
        <f t="shared" si="59"/>
        <v>2013.48</v>
      </c>
      <c r="O631" s="9"/>
      <c r="P631" s="9"/>
      <c r="Q631" s="10" t="s">
        <v>297</v>
      </c>
    </row>
    <row r="632" spans="1:17" s="11" customFormat="1" ht="40.5" x14ac:dyDescent="0.3">
      <c r="A632" s="18" t="s">
        <v>1146</v>
      </c>
      <c r="B632" s="23">
        <v>45469</v>
      </c>
      <c r="C632" s="8"/>
      <c r="D632" s="12" t="s">
        <v>2318</v>
      </c>
      <c r="E632" s="12" t="s">
        <v>180</v>
      </c>
      <c r="F632" s="18" t="s">
        <v>1779</v>
      </c>
      <c r="G632" s="8">
        <f>3-1</f>
        <v>2</v>
      </c>
      <c r="H632" s="8"/>
      <c r="I632" s="8"/>
      <c r="J632" s="8"/>
      <c r="K632" s="8">
        <f>+G632+H632+-I632</f>
        <v>2</v>
      </c>
      <c r="L632" s="8"/>
      <c r="M632" s="9">
        <v>845</v>
      </c>
      <c r="N632" s="9">
        <f t="shared" si="59"/>
        <v>1690</v>
      </c>
      <c r="O632" s="9"/>
      <c r="P632" s="9"/>
      <c r="Q632" s="10" t="s">
        <v>159</v>
      </c>
    </row>
    <row r="633" spans="1:17" s="11" customFormat="1" ht="40.5" x14ac:dyDescent="0.3">
      <c r="A633" s="18" t="s">
        <v>1147</v>
      </c>
      <c r="B633" s="23">
        <v>45469</v>
      </c>
      <c r="C633" s="8"/>
      <c r="D633" s="12" t="s">
        <v>2318</v>
      </c>
      <c r="E633" s="12" t="s">
        <v>181</v>
      </c>
      <c r="F633" s="18" t="s">
        <v>1779</v>
      </c>
      <c r="G633" s="8">
        <v>2</v>
      </c>
      <c r="H633" s="8"/>
      <c r="I633" s="8"/>
      <c r="J633" s="8"/>
      <c r="K633" s="8">
        <f>+G633+H633+-I633</f>
        <v>2</v>
      </c>
      <c r="L633" s="8"/>
      <c r="M633" s="9">
        <v>1107</v>
      </c>
      <c r="N633" s="9">
        <f t="shared" si="59"/>
        <v>2214</v>
      </c>
      <c r="O633" s="9"/>
      <c r="P633" s="9"/>
      <c r="Q633" s="10" t="s">
        <v>159</v>
      </c>
    </row>
    <row r="634" spans="1:17" s="11" customFormat="1" ht="20.25" x14ac:dyDescent="0.3">
      <c r="A634" s="18" t="s">
        <v>1148</v>
      </c>
      <c r="B634" s="23">
        <v>45797</v>
      </c>
      <c r="C634" s="8"/>
      <c r="D634" s="12" t="s">
        <v>2318</v>
      </c>
      <c r="E634" s="12" t="s">
        <v>1826</v>
      </c>
      <c r="F634" s="18" t="s">
        <v>1779</v>
      </c>
      <c r="G634" s="8"/>
      <c r="H634" s="8">
        <v>50</v>
      </c>
      <c r="I634" s="8">
        <f>2+1</f>
        <v>3</v>
      </c>
      <c r="J634" s="8"/>
      <c r="K634" s="8">
        <f>+G634+H634+-I634</f>
        <v>47</v>
      </c>
      <c r="L634" s="8"/>
      <c r="M634" s="9">
        <v>177</v>
      </c>
      <c r="N634" s="9">
        <f t="shared" si="59"/>
        <v>8319</v>
      </c>
      <c r="O634" s="9"/>
      <c r="P634" s="9"/>
      <c r="Q634" s="10" t="s">
        <v>433</v>
      </c>
    </row>
    <row r="635" spans="1:17" s="11" customFormat="1" ht="20.25" customHeight="1" x14ac:dyDescent="0.3">
      <c r="A635" s="18" t="s">
        <v>1149</v>
      </c>
      <c r="B635" s="23">
        <v>45804</v>
      </c>
      <c r="C635" s="8"/>
      <c r="D635" s="12" t="s">
        <v>2318</v>
      </c>
      <c r="E635" s="12" t="s">
        <v>2035</v>
      </c>
      <c r="F635" s="18" t="s">
        <v>1779</v>
      </c>
      <c r="G635" s="8"/>
      <c r="H635" s="8">
        <v>50</v>
      </c>
      <c r="I635" s="8"/>
      <c r="J635" s="8"/>
      <c r="K635" s="8">
        <f>+G635+H635+-I635</f>
        <v>50</v>
      </c>
      <c r="L635" s="8">
        <v>50</v>
      </c>
      <c r="M635" s="9">
        <v>165</v>
      </c>
      <c r="N635" s="9">
        <f t="shared" si="59"/>
        <v>8250</v>
      </c>
      <c r="O635" s="9"/>
      <c r="P635" s="9"/>
      <c r="Q635" s="10" t="s">
        <v>433</v>
      </c>
    </row>
    <row r="636" spans="1:17" s="11" customFormat="1" ht="20.25" customHeight="1" x14ac:dyDescent="0.3">
      <c r="A636" s="18" t="s">
        <v>1150</v>
      </c>
      <c r="B636" s="23">
        <v>45469</v>
      </c>
      <c r="C636" s="8"/>
      <c r="D636" s="12" t="s">
        <v>2318</v>
      </c>
      <c r="E636" s="12" t="s">
        <v>1292</v>
      </c>
      <c r="F636" s="18" t="s">
        <v>1779</v>
      </c>
      <c r="G636" s="8">
        <v>3</v>
      </c>
      <c r="H636" s="8">
        <v>26</v>
      </c>
      <c r="I636" s="8">
        <v>2</v>
      </c>
      <c r="J636" s="8"/>
      <c r="K636" s="8">
        <f>+G636+H636-I636+J636</f>
        <v>27</v>
      </c>
      <c r="L636" s="8"/>
      <c r="M636" s="9">
        <v>375</v>
      </c>
      <c r="N636" s="9">
        <f>+M636*H636</f>
        <v>9750</v>
      </c>
      <c r="O636" s="9"/>
      <c r="P636" s="9"/>
      <c r="Q636" s="10" t="s">
        <v>433</v>
      </c>
    </row>
    <row r="637" spans="1:17" s="11" customFormat="1" ht="20.25" customHeight="1" x14ac:dyDescent="0.3">
      <c r="A637" s="18" t="s">
        <v>1151</v>
      </c>
      <c r="B637" s="23">
        <v>45804</v>
      </c>
      <c r="C637" s="8"/>
      <c r="D637" s="12" t="s">
        <v>2321</v>
      </c>
      <c r="E637" s="12" t="s">
        <v>2036</v>
      </c>
      <c r="F637" s="18" t="s">
        <v>1779</v>
      </c>
      <c r="G637" s="8"/>
      <c r="H637" s="8">
        <v>40</v>
      </c>
      <c r="I637" s="8"/>
      <c r="J637" s="8"/>
      <c r="K637" s="8">
        <f>+G637+H637-I637+J637</f>
        <v>40</v>
      </c>
      <c r="L637" s="8"/>
      <c r="M637" s="9">
        <v>59</v>
      </c>
      <c r="N637" s="9">
        <f>+K637*M637</f>
        <v>2360</v>
      </c>
      <c r="O637" s="9"/>
      <c r="P637" s="9"/>
      <c r="Q637" s="10" t="s">
        <v>433</v>
      </c>
    </row>
    <row r="638" spans="1:17" s="11" customFormat="1" ht="20.25" customHeight="1" x14ac:dyDescent="0.3">
      <c r="A638" s="18" t="s">
        <v>1152</v>
      </c>
      <c r="B638" s="23">
        <v>45804</v>
      </c>
      <c r="C638" s="8"/>
      <c r="D638" s="12" t="s">
        <v>2321</v>
      </c>
      <c r="E638" s="12" t="s">
        <v>2037</v>
      </c>
      <c r="F638" s="18" t="s">
        <v>1779</v>
      </c>
      <c r="G638" s="8"/>
      <c r="H638" s="8">
        <v>50</v>
      </c>
      <c r="I638" s="8"/>
      <c r="J638" s="8"/>
      <c r="K638" s="8">
        <f>+G638+H638-I638+J638</f>
        <v>50</v>
      </c>
      <c r="L638" s="8"/>
      <c r="M638" s="9">
        <v>21</v>
      </c>
      <c r="N638" s="9">
        <f>+K638*M638</f>
        <v>1050</v>
      </c>
      <c r="O638" s="9"/>
      <c r="P638" s="9"/>
      <c r="Q638" s="10" t="s">
        <v>433</v>
      </c>
    </row>
    <row r="639" spans="1:17" s="11" customFormat="1" ht="20.25" x14ac:dyDescent="0.3">
      <c r="A639" s="18" t="s">
        <v>1153</v>
      </c>
      <c r="B639" s="23">
        <v>45804</v>
      </c>
      <c r="C639" s="8"/>
      <c r="D639" s="12" t="s">
        <v>2321</v>
      </c>
      <c r="E639" s="12" t="s">
        <v>2038</v>
      </c>
      <c r="F639" s="18" t="s">
        <v>1779</v>
      </c>
      <c r="G639" s="8"/>
      <c r="H639" s="8">
        <v>30</v>
      </c>
      <c r="I639" s="8"/>
      <c r="J639" s="8"/>
      <c r="K639" s="8">
        <f>+G639+H639-I639+J639</f>
        <v>30</v>
      </c>
      <c r="L639" s="8"/>
      <c r="M639" s="9">
        <v>33</v>
      </c>
      <c r="N639" s="9">
        <f>+K639*M639</f>
        <v>990</v>
      </c>
      <c r="O639" s="9"/>
      <c r="P639" s="9"/>
      <c r="Q639" s="10" t="s">
        <v>433</v>
      </c>
    </row>
    <row r="640" spans="1:17" s="11" customFormat="1" ht="20.25" x14ac:dyDescent="0.3">
      <c r="A640" s="18" t="s">
        <v>1154</v>
      </c>
      <c r="B640" s="23">
        <v>45469</v>
      </c>
      <c r="C640" s="8"/>
      <c r="D640" s="12" t="s">
        <v>2321</v>
      </c>
      <c r="E640" s="12" t="s">
        <v>1227</v>
      </c>
      <c r="F640" s="18" t="s">
        <v>1779</v>
      </c>
      <c r="G640" s="8">
        <v>13</v>
      </c>
      <c r="H640" s="8"/>
      <c r="I640" s="8">
        <f>13-9+1+1+1</f>
        <v>7</v>
      </c>
      <c r="J640" s="8"/>
      <c r="K640" s="8">
        <f>+G640+H640+-I640</f>
        <v>6</v>
      </c>
      <c r="L640" s="8"/>
      <c r="M640" s="9">
        <v>271.39999999999998</v>
      </c>
      <c r="N640" s="9">
        <f>+K640*M640</f>
        <v>1628.3999999999999</v>
      </c>
      <c r="O640" s="9"/>
      <c r="P640" s="9"/>
      <c r="Q640" s="10" t="s">
        <v>433</v>
      </c>
    </row>
    <row r="641" spans="1:17" s="11" customFormat="1" ht="20.25" x14ac:dyDescent="0.3">
      <c r="A641" s="18" t="s">
        <v>1155</v>
      </c>
      <c r="B641" s="23">
        <v>45469</v>
      </c>
      <c r="C641" s="8"/>
      <c r="D641" s="12" t="s">
        <v>2321</v>
      </c>
      <c r="E641" s="12" t="s">
        <v>1175</v>
      </c>
      <c r="F641" s="18" t="s">
        <v>1779</v>
      </c>
      <c r="G641" s="8">
        <v>12</v>
      </c>
      <c r="H641" s="8"/>
      <c r="I641" s="8">
        <f>4+2+2+1+1+1-2+1+1</f>
        <v>11</v>
      </c>
      <c r="J641" s="8"/>
      <c r="K641" s="8">
        <f>+G641+H641+-I641</f>
        <v>1</v>
      </c>
      <c r="L641" s="8"/>
      <c r="M641" s="9">
        <v>413</v>
      </c>
      <c r="N641" s="9">
        <f>+K641*M641</f>
        <v>413</v>
      </c>
      <c r="O641" s="9"/>
      <c r="P641" s="9"/>
      <c r="Q641" s="10" t="s">
        <v>433</v>
      </c>
    </row>
    <row r="642" spans="1:17" s="11" customFormat="1" ht="20.25" x14ac:dyDescent="0.3">
      <c r="A642" s="18" t="s">
        <v>1156</v>
      </c>
      <c r="B642" s="23">
        <v>45791</v>
      </c>
      <c r="C642" s="8"/>
      <c r="D642" s="12" t="s">
        <v>2321</v>
      </c>
      <c r="E642" s="12" t="s">
        <v>1789</v>
      </c>
      <c r="F642" s="18" t="s">
        <v>1779</v>
      </c>
      <c r="G642" s="8"/>
      <c r="H642" s="8">
        <v>2</v>
      </c>
      <c r="I642" s="8"/>
      <c r="J642" s="8"/>
      <c r="K642" s="8">
        <f>+G642+H642+-I642</f>
        <v>2</v>
      </c>
      <c r="L642" s="8"/>
      <c r="M642" s="9"/>
      <c r="N642" s="9"/>
      <c r="O642" s="9"/>
      <c r="P642" s="9"/>
      <c r="Q642" s="10" t="s">
        <v>1479</v>
      </c>
    </row>
    <row r="643" spans="1:17" s="11" customFormat="1" ht="20.25" x14ac:dyDescent="0.3">
      <c r="A643" s="18" t="s">
        <v>1157</v>
      </c>
      <c r="B643" s="23">
        <v>45469</v>
      </c>
      <c r="C643" s="8"/>
      <c r="D643" s="12" t="s">
        <v>2321</v>
      </c>
      <c r="E643" s="12" t="s">
        <v>454</v>
      </c>
      <c r="F643" s="18" t="s">
        <v>1779</v>
      </c>
      <c r="G643" s="8">
        <v>1</v>
      </c>
      <c r="H643" s="8"/>
      <c r="I643" s="8"/>
      <c r="J643" s="8"/>
      <c r="K643" s="8">
        <f>+G643+H643+-I643</f>
        <v>1</v>
      </c>
      <c r="L643" s="8"/>
      <c r="M643" s="9">
        <v>286</v>
      </c>
      <c r="N643" s="9">
        <f t="shared" ref="N643:N678" si="60">+K643*M643</f>
        <v>286</v>
      </c>
      <c r="O643" s="9"/>
      <c r="P643" s="9"/>
      <c r="Q643" s="10" t="s">
        <v>433</v>
      </c>
    </row>
    <row r="644" spans="1:17" s="11" customFormat="1" ht="40.5" x14ac:dyDescent="0.3">
      <c r="A644" s="18" t="s">
        <v>1158</v>
      </c>
      <c r="B644" s="23">
        <v>45804</v>
      </c>
      <c r="C644" s="8"/>
      <c r="D644" s="12" t="s">
        <v>2321</v>
      </c>
      <c r="E644" s="12" t="s">
        <v>2039</v>
      </c>
      <c r="F644" s="18" t="s">
        <v>1779</v>
      </c>
      <c r="G644" s="8"/>
      <c r="H644" s="8">
        <v>40</v>
      </c>
      <c r="I644" s="8"/>
      <c r="J644" s="8"/>
      <c r="K644" s="8">
        <f>+G644+H644-I644+J644</f>
        <v>40</v>
      </c>
      <c r="L644" s="8">
        <v>40</v>
      </c>
      <c r="M644" s="9">
        <v>262</v>
      </c>
      <c r="N644" s="9">
        <f t="shared" si="60"/>
        <v>10480</v>
      </c>
      <c r="O644" s="9"/>
      <c r="P644" s="9"/>
      <c r="Q644" s="10" t="s">
        <v>433</v>
      </c>
    </row>
    <row r="645" spans="1:17" s="11" customFormat="1" ht="20.25" x14ac:dyDescent="0.3">
      <c r="A645" s="18" t="s">
        <v>1159</v>
      </c>
      <c r="B645" s="23">
        <v>45469</v>
      </c>
      <c r="C645" s="8"/>
      <c r="D645" s="12" t="s">
        <v>2321</v>
      </c>
      <c r="E645" s="12" t="s">
        <v>455</v>
      </c>
      <c r="F645" s="18" t="s">
        <v>1779</v>
      </c>
      <c r="G645" s="8">
        <v>4</v>
      </c>
      <c r="H645" s="8"/>
      <c r="I645" s="8">
        <v>4</v>
      </c>
      <c r="J645" s="8"/>
      <c r="K645" s="8">
        <f>+G645+H645-I645-J645</f>
        <v>0</v>
      </c>
      <c r="L645" s="8"/>
      <c r="M645" s="9">
        <v>95</v>
      </c>
      <c r="N645" s="9">
        <f t="shared" si="60"/>
        <v>0</v>
      </c>
      <c r="O645" s="9"/>
      <c r="P645" s="9"/>
      <c r="Q645" s="10" t="s">
        <v>433</v>
      </c>
    </row>
    <row r="646" spans="1:17" s="11" customFormat="1" ht="20.25" x14ac:dyDescent="0.3">
      <c r="A646" s="18" t="s">
        <v>1160</v>
      </c>
      <c r="B646" s="23">
        <v>45469</v>
      </c>
      <c r="C646" s="8"/>
      <c r="D646" s="12" t="s">
        <v>2321</v>
      </c>
      <c r="E646" s="12" t="s">
        <v>1255</v>
      </c>
      <c r="F646" s="18" t="s">
        <v>1779</v>
      </c>
      <c r="G646" s="8">
        <v>23</v>
      </c>
      <c r="H646" s="8"/>
      <c r="I646" s="8">
        <f>1+1+1+1</f>
        <v>4</v>
      </c>
      <c r="J646" s="8"/>
      <c r="K646" s="8">
        <f t="shared" ref="K646:K658" si="61">+G646+H646+-I646</f>
        <v>19</v>
      </c>
      <c r="L646" s="8"/>
      <c r="M646" s="9">
        <v>271.39999999999998</v>
      </c>
      <c r="N646" s="9">
        <f t="shared" si="60"/>
        <v>5156.5999999999995</v>
      </c>
      <c r="O646" s="9"/>
      <c r="P646" s="9"/>
      <c r="Q646" s="10" t="s">
        <v>433</v>
      </c>
    </row>
    <row r="647" spans="1:17" s="11" customFormat="1" ht="20.25" x14ac:dyDescent="0.3">
      <c r="A647" s="18" t="s">
        <v>1161</v>
      </c>
      <c r="B647" s="23"/>
      <c r="C647" s="8"/>
      <c r="D647" s="12" t="s">
        <v>2321</v>
      </c>
      <c r="E647" s="12" t="s">
        <v>456</v>
      </c>
      <c r="F647" s="18" t="s">
        <v>1779</v>
      </c>
      <c r="G647" s="8">
        <v>4</v>
      </c>
      <c r="H647" s="8"/>
      <c r="I647" s="8"/>
      <c r="J647" s="8"/>
      <c r="K647" s="8">
        <f t="shared" si="61"/>
        <v>4</v>
      </c>
      <c r="L647" s="8"/>
      <c r="M647" s="9">
        <v>708</v>
      </c>
      <c r="N647" s="9">
        <f t="shared" si="60"/>
        <v>2832</v>
      </c>
      <c r="O647" s="9"/>
      <c r="P647" s="9"/>
      <c r="Q647" s="10" t="s">
        <v>433</v>
      </c>
    </row>
    <row r="648" spans="1:17" s="11" customFormat="1" ht="39.950000000000003" customHeight="1" x14ac:dyDescent="0.3">
      <c r="A648" s="18" t="s">
        <v>1162</v>
      </c>
      <c r="B648" s="23"/>
      <c r="C648" s="8"/>
      <c r="D648" s="12" t="s">
        <v>2321</v>
      </c>
      <c r="E648" s="12" t="s">
        <v>457</v>
      </c>
      <c r="F648" s="18" t="s">
        <v>1779</v>
      </c>
      <c r="G648" s="8">
        <f>31-1</f>
        <v>30</v>
      </c>
      <c r="H648" s="8"/>
      <c r="I648" s="8">
        <f>2+3+6+2+1+2+1</f>
        <v>17</v>
      </c>
      <c r="J648" s="8"/>
      <c r="K648" s="8">
        <f t="shared" si="61"/>
        <v>13</v>
      </c>
      <c r="L648" s="8"/>
      <c r="M648" s="9">
        <v>59</v>
      </c>
      <c r="N648" s="9">
        <f t="shared" si="60"/>
        <v>767</v>
      </c>
      <c r="O648" s="9"/>
      <c r="P648" s="9"/>
      <c r="Q648" s="10" t="s">
        <v>433</v>
      </c>
    </row>
    <row r="649" spans="1:17" s="11" customFormat="1" ht="20.25" x14ac:dyDescent="0.3">
      <c r="A649" s="18" t="s">
        <v>1163</v>
      </c>
      <c r="B649" s="23">
        <v>45799</v>
      </c>
      <c r="C649" s="8"/>
      <c r="D649" s="12" t="s">
        <v>2321</v>
      </c>
      <c r="E649" s="12" t="s">
        <v>1865</v>
      </c>
      <c r="F649" s="18" t="s">
        <v>1779</v>
      </c>
      <c r="G649" s="8">
        <v>1</v>
      </c>
      <c r="H649" s="8">
        <v>24</v>
      </c>
      <c r="I649" s="8">
        <v>1</v>
      </c>
      <c r="J649" s="8"/>
      <c r="K649" s="8">
        <f t="shared" si="61"/>
        <v>24</v>
      </c>
      <c r="L649" s="8"/>
      <c r="M649" s="9">
        <v>330</v>
      </c>
      <c r="N649" s="9">
        <f t="shared" si="60"/>
        <v>7920</v>
      </c>
      <c r="O649" s="9"/>
      <c r="P649" s="9"/>
      <c r="Q649" s="10" t="s">
        <v>433</v>
      </c>
    </row>
    <row r="650" spans="1:17" s="11" customFormat="1" ht="20.25" x14ac:dyDescent="0.3">
      <c r="A650" s="18" t="s">
        <v>1164</v>
      </c>
      <c r="B650" s="23"/>
      <c r="C650" s="8"/>
      <c r="D650" s="12" t="s">
        <v>2321</v>
      </c>
      <c r="E650" s="12" t="s">
        <v>458</v>
      </c>
      <c r="F650" s="18" t="s">
        <v>1779</v>
      </c>
      <c r="G650" s="8">
        <v>3</v>
      </c>
      <c r="H650" s="8"/>
      <c r="I650" s="8">
        <f>1+2</f>
        <v>3</v>
      </c>
      <c r="J650" s="8"/>
      <c r="K650" s="8">
        <f t="shared" si="61"/>
        <v>0</v>
      </c>
      <c r="L650" s="8"/>
      <c r="M650" s="9">
        <v>79.8</v>
      </c>
      <c r="N650" s="9">
        <f t="shared" si="60"/>
        <v>0</v>
      </c>
      <c r="O650" s="9"/>
      <c r="P650" s="9"/>
      <c r="Q650" s="10" t="s">
        <v>433</v>
      </c>
    </row>
    <row r="651" spans="1:17" s="11" customFormat="1" ht="20.25" x14ac:dyDescent="0.3">
      <c r="A651" s="18" t="s">
        <v>1165</v>
      </c>
      <c r="B651" s="23">
        <v>45469</v>
      </c>
      <c r="C651" s="8"/>
      <c r="D651" s="12" t="s">
        <v>2321</v>
      </c>
      <c r="E651" s="12" t="s">
        <v>459</v>
      </c>
      <c r="F651" s="18" t="s">
        <v>1779</v>
      </c>
      <c r="G651" s="8">
        <v>20</v>
      </c>
      <c r="H651" s="8"/>
      <c r="I651" s="8">
        <f>1+6+5+1</f>
        <v>13</v>
      </c>
      <c r="J651" s="8"/>
      <c r="K651" s="8">
        <f t="shared" si="61"/>
        <v>7</v>
      </c>
      <c r="L651" s="8"/>
      <c r="M651" s="9">
        <v>94.4</v>
      </c>
      <c r="N651" s="9">
        <f t="shared" si="60"/>
        <v>660.80000000000007</v>
      </c>
      <c r="O651" s="9"/>
      <c r="P651" s="9"/>
      <c r="Q651" s="10" t="s">
        <v>433</v>
      </c>
    </row>
    <row r="652" spans="1:17" s="11" customFormat="1" ht="20.25" x14ac:dyDescent="0.3">
      <c r="A652" s="18" t="s">
        <v>1166</v>
      </c>
      <c r="B652" s="23">
        <v>45797</v>
      </c>
      <c r="C652" s="8"/>
      <c r="D652" s="12" t="s">
        <v>2321</v>
      </c>
      <c r="E652" s="12" t="s">
        <v>2463</v>
      </c>
      <c r="F652" s="18" t="s">
        <v>1779</v>
      </c>
      <c r="G652" s="8"/>
      <c r="H652" s="8">
        <v>36</v>
      </c>
      <c r="I652" s="8"/>
      <c r="J652" s="8"/>
      <c r="K652" s="8">
        <f t="shared" si="61"/>
        <v>36</v>
      </c>
      <c r="L652" s="8"/>
      <c r="M652" s="9">
        <v>148</v>
      </c>
      <c r="N652" s="9">
        <f t="shared" si="60"/>
        <v>5328</v>
      </c>
      <c r="O652" s="9"/>
      <c r="P652" s="9"/>
      <c r="Q652" s="10" t="s">
        <v>433</v>
      </c>
    </row>
    <row r="653" spans="1:17" s="11" customFormat="1" ht="20.25" x14ac:dyDescent="0.3">
      <c r="A653" s="18" t="s">
        <v>1167</v>
      </c>
      <c r="B653" s="23">
        <v>45797</v>
      </c>
      <c r="C653" s="8"/>
      <c r="D653" s="12" t="s">
        <v>2321</v>
      </c>
      <c r="E653" s="12" t="s">
        <v>2464</v>
      </c>
      <c r="F653" s="18" t="s">
        <v>1779</v>
      </c>
      <c r="G653" s="8"/>
      <c r="H653" s="8">
        <v>36</v>
      </c>
      <c r="I653" s="8"/>
      <c r="J653" s="8"/>
      <c r="K653" s="8">
        <f t="shared" si="61"/>
        <v>36</v>
      </c>
      <c r="L653" s="8"/>
      <c r="M653" s="9">
        <v>59</v>
      </c>
      <c r="N653" s="9">
        <f t="shared" si="60"/>
        <v>2124</v>
      </c>
      <c r="O653" s="9"/>
      <c r="P653" s="9"/>
      <c r="Q653" s="10" t="s">
        <v>433</v>
      </c>
    </row>
    <row r="654" spans="1:17" s="11" customFormat="1" ht="20.25" x14ac:dyDescent="0.3">
      <c r="A654" s="18" t="s">
        <v>1168</v>
      </c>
      <c r="B654" s="23">
        <v>45797</v>
      </c>
      <c r="C654" s="8"/>
      <c r="D654" s="12" t="s">
        <v>2321</v>
      </c>
      <c r="E654" s="12" t="s">
        <v>2465</v>
      </c>
      <c r="F654" s="18" t="s">
        <v>1779</v>
      </c>
      <c r="G654" s="8"/>
      <c r="H654" s="8">
        <v>48</v>
      </c>
      <c r="I654" s="8"/>
      <c r="J654" s="8"/>
      <c r="K654" s="8">
        <f t="shared" si="61"/>
        <v>48</v>
      </c>
      <c r="L654" s="8"/>
      <c r="M654" s="9">
        <v>295</v>
      </c>
      <c r="N654" s="9">
        <f t="shared" si="60"/>
        <v>14160</v>
      </c>
      <c r="O654" s="9"/>
      <c r="P654" s="9"/>
      <c r="Q654" s="10" t="s">
        <v>433</v>
      </c>
    </row>
    <row r="655" spans="1:17" s="11" customFormat="1" ht="20.25" x14ac:dyDescent="0.3">
      <c r="A655" s="18" t="s">
        <v>1169</v>
      </c>
      <c r="B655" s="23">
        <v>45469</v>
      </c>
      <c r="C655" s="8"/>
      <c r="D655" s="12" t="s">
        <v>2321</v>
      </c>
      <c r="E655" s="12" t="s">
        <v>460</v>
      </c>
      <c r="F655" s="18" t="s">
        <v>1779</v>
      </c>
      <c r="G655" s="8">
        <v>20</v>
      </c>
      <c r="H655" s="8"/>
      <c r="I655" s="8">
        <v>6</v>
      </c>
      <c r="J655" s="8"/>
      <c r="K655" s="8">
        <f t="shared" si="61"/>
        <v>14</v>
      </c>
      <c r="L655" s="8"/>
      <c r="M655" s="9">
        <v>52</v>
      </c>
      <c r="N655" s="9">
        <f t="shared" si="60"/>
        <v>728</v>
      </c>
      <c r="O655" s="9"/>
      <c r="P655" s="9"/>
      <c r="Q655" s="10" t="s">
        <v>433</v>
      </c>
    </row>
    <row r="656" spans="1:17" s="11" customFormat="1" ht="20.25" x14ac:dyDescent="0.3">
      <c r="A656" s="18" t="s">
        <v>1170</v>
      </c>
      <c r="B656" s="23">
        <v>45799</v>
      </c>
      <c r="C656" s="8"/>
      <c r="D656" s="12" t="s">
        <v>2321</v>
      </c>
      <c r="E656" s="12" t="s">
        <v>461</v>
      </c>
      <c r="F656" s="18" t="s">
        <v>1779</v>
      </c>
      <c r="G656" s="8">
        <v>31</v>
      </c>
      <c r="H656" s="8">
        <v>36</v>
      </c>
      <c r="I656" s="8">
        <f>31-19</f>
        <v>12</v>
      </c>
      <c r="J656" s="8"/>
      <c r="K656" s="8">
        <f t="shared" si="61"/>
        <v>55</v>
      </c>
      <c r="L656" s="8"/>
      <c r="M656" s="9">
        <v>295</v>
      </c>
      <c r="N656" s="9">
        <f t="shared" si="60"/>
        <v>16225</v>
      </c>
      <c r="O656" s="9"/>
      <c r="P656" s="9"/>
      <c r="Q656" s="10" t="s">
        <v>433</v>
      </c>
    </row>
    <row r="657" spans="1:17" s="11" customFormat="1" ht="20.25" x14ac:dyDescent="0.3">
      <c r="A657" s="18" t="s">
        <v>1171</v>
      </c>
      <c r="B657" s="23"/>
      <c r="C657" s="8"/>
      <c r="D657" s="12" t="s">
        <v>2321</v>
      </c>
      <c r="E657" s="12" t="s">
        <v>462</v>
      </c>
      <c r="F657" s="18" t="s">
        <v>1779</v>
      </c>
      <c r="G657" s="8">
        <v>10</v>
      </c>
      <c r="H657" s="8"/>
      <c r="I657" s="8"/>
      <c r="J657" s="8"/>
      <c r="K657" s="8">
        <f t="shared" si="61"/>
        <v>10</v>
      </c>
      <c r="L657" s="8"/>
      <c r="M657" s="9">
        <v>30</v>
      </c>
      <c r="N657" s="9">
        <f t="shared" si="60"/>
        <v>300</v>
      </c>
      <c r="O657" s="9"/>
      <c r="P657" s="9"/>
      <c r="Q657" s="10" t="s">
        <v>433</v>
      </c>
    </row>
    <row r="658" spans="1:17" s="11" customFormat="1" ht="20.25" x14ac:dyDescent="0.3">
      <c r="A658" s="18" t="s">
        <v>1172</v>
      </c>
      <c r="B658" s="23"/>
      <c r="C658" s="8"/>
      <c r="D658" s="12" t="s">
        <v>2321</v>
      </c>
      <c r="E658" s="12" t="s">
        <v>463</v>
      </c>
      <c r="F658" s="18" t="s">
        <v>1779</v>
      </c>
      <c r="G658" s="8">
        <v>3</v>
      </c>
      <c r="H658" s="8"/>
      <c r="I658" s="8"/>
      <c r="J658" s="8"/>
      <c r="K658" s="8">
        <f t="shared" si="61"/>
        <v>3</v>
      </c>
      <c r="L658" s="8"/>
      <c r="M658" s="9">
        <v>570</v>
      </c>
      <c r="N658" s="9">
        <f t="shared" si="60"/>
        <v>1710</v>
      </c>
      <c r="O658" s="9"/>
      <c r="P658" s="9"/>
      <c r="Q658" s="10" t="s">
        <v>433</v>
      </c>
    </row>
    <row r="659" spans="1:17" s="11" customFormat="1" ht="20.25" x14ac:dyDescent="0.3">
      <c r="A659" s="18" t="s">
        <v>1173</v>
      </c>
      <c r="B659" s="23"/>
      <c r="C659" s="8"/>
      <c r="D659" s="12" t="s">
        <v>2321</v>
      </c>
      <c r="E659" s="12" t="s">
        <v>1513</v>
      </c>
      <c r="F659" s="18" t="s">
        <v>1779</v>
      </c>
      <c r="G659" s="8"/>
      <c r="H659" s="8">
        <v>2</v>
      </c>
      <c r="I659" s="8"/>
      <c r="J659" s="8"/>
      <c r="K659" s="8">
        <f t="shared" ref="K659:K665" si="62">+G659+H659-I659+J659</f>
        <v>2</v>
      </c>
      <c r="L659" s="8"/>
      <c r="M659" s="9">
        <v>10041.245000000001</v>
      </c>
      <c r="N659" s="9">
        <f t="shared" si="60"/>
        <v>20082.490000000002</v>
      </c>
      <c r="O659" s="9"/>
      <c r="P659" s="9"/>
      <c r="Q659" s="10" t="s">
        <v>433</v>
      </c>
    </row>
    <row r="660" spans="1:17" s="11" customFormat="1" ht="20.25" x14ac:dyDescent="0.3">
      <c r="A660" s="18" t="s">
        <v>1174</v>
      </c>
      <c r="B660" s="23"/>
      <c r="C660" s="8"/>
      <c r="D660" s="12" t="s">
        <v>2321</v>
      </c>
      <c r="E660" s="12" t="s">
        <v>1429</v>
      </c>
      <c r="F660" s="18" t="s">
        <v>1779</v>
      </c>
      <c r="G660" s="8"/>
      <c r="H660" s="8">
        <v>2</v>
      </c>
      <c r="I660" s="8"/>
      <c r="J660" s="8"/>
      <c r="K660" s="8">
        <f t="shared" si="62"/>
        <v>2</v>
      </c>
      <c r="L660" s="8"/>
      <c r="M660" s="9">
        <v>315.06</v>
      </c>
      <c r="N660" s="9">
        <f t="shared" si="60"/>
        <v>630.12</v>
      </c>
      <c r="O660" s="9"/>
      <c r="P660" s="9"/>
      <c r="Q660" s="10" t="s">
        <v>433</v>
      </c>
    </row>
    <row r="661" spans="1:17" s="11" customFormat="1" ht="20.25" x14ac:dyDescent="0.3">
      <c r="A661" s="18" t="s">
        <v>1185</v>
      </c>
      <c r="B661" s="23" t="s">
        <v>257</v>
      </c>
      <c r="C661" s="8"/>
      <c r="D661" s="12" t="s">
        <v>2321</v>
      </c>
      <c r="E661" s="12" t="s">
        <v>1716</v>
      </c>
      <c r="F661" s="18" t="s">
        <v>1779</v>
      </c>
      <c r="G661" s="8">
        <v>3</v>
      </c>
      <c r="H661" s="8"/>
      <c r="I661" s="8">
        <v>1</v>
      </c>
      <c r="J661" s="8"/>
      <c r="K661" s="8">
        <f t="shared" si="62"/>
        <v>2</v>
      </c>
      <c r="L661" s="8"/>
      <c r="M661" s="9">
        <v>2060</v>
      </c>
      <c r="N661" s="9">
        <f t="shared" si="60"/>
        <v>4120</v>
      </c>
      <c r="O661" s="9"/>
      <c r="P661" s="9"/>
      <c r="Q661" s="10" t="s">
        <v>109</v>
      </c>
    </row>
    <row r="662" spans="1:17" s="11" customFormat="1" ht="20.25" x14ac:dyDescent="0.3">
      <c r="A662" s="18" t="s">
        <v>1186</v>
      </c>
      <c r="B662" s="19">
        <v>45814</v>
      </c>
      <c r="C662" s="20"/>
      <c r="D662" s="12" t="s">
        <v>2321</v>
      </c>
      <c r="E662" s="12" t="s">
        <v>2193</v>
      </c>
      <c r="F662" s="18" t="s">
        <v>1779</v>
      </c>
      <c r="G662" s="8"/>
      <c r="H662" s="8">
        <v>6</v>
      </c>
      <c r="I662" s="8"/>
      <c r="J662" s="8"/>
      <c r="K662" s="8">
        <f t="shared" si="62"/>
        <v>6</v>
      </c>
      <c r="L662" s="8"/>
      <c r="M662" s="9">
        <v>3385.42</v>
      </c>
      <c r="N662" s="9">
        <f t="shared" si="60"/>
        <v>20312.52</v>
      </c>
      <c r="O662" s="9"/>
      <c r="P662" s="9"/>
      <c r="Q662" s="10"/>
    </row>
    <row r="663" spans="1:17" s="11" customFormat="1" ht="40.5" x14ac:dyDescent="0.3">
      <c r="A663" s="18" t="s">
        <v>1187</v>
      </c>
      <c r="B663" s="23" t="s">
        <v>1759</v>
      </c>
      <c r="C663" s="8"/>
      <c r="D663" s="12" t="s">
        <v>2321</v>
      </c>
      <c r="E663" s="12" t="s">
        <v>1322</v>
      </c>
      <c r="F663" s="18" t="s">
        <v>1779</v>
      </c>
      <c r="G663" s="8"/>
      <c r="H663" s="8">
        <v>4</v>
      </c>
      <c r="I663" s="8">
        <v>1</v>
      </c>
      <c r="J663" s="8"/>
      <c r="K663" s="8">
        <f t="shared" si="62"/>
        <v>3</v>
      </c>
      <c r="L663" s="8"/>
      <c r="M663" s="9">
        <v>3173.8</v>
      </c>
      <c r="N663" s="9">
        <f t="shared" si="60"/>
        <v>9521.4000000000015</v>
      </c>
      <c r="O663" s="9"/>
      <c r="P663" s="9"/>
      <c r="Q663" s="10" t="s">
        <v>1307</v>
      </c>
    </row>
    <row r="664" spans="1:17" s="11" customFormat="1" ht="40.5" x14ac:dyDescent="0.3">
      <c r="A664" s="18" t="s">
        <v>1192</v>
      </c>
      <c r="B664" s="19">
        <v>45783</v>
      </c>
      <c r="C664" s="20"/>
      <c r="D664" s="12" t="s">
        <v>2321</v>
      </c>
      <c r="E664" s="12" t="s">
        <v>2415</v>
      </c>
      <c r="F664" s="21" t="s">
        <v>1779</v>
      </c>
      <c r="G664" s="8"/>
      <c r="H664" s="8">
        <v>6</v>
      </c>
      <c r="I664" s="8">
        <v>2</v>
      </c>
      <c r="J664" s="8"/>
      <c r="K664" s="8">
        <f t="shared" si="62"/>
        <v>4</v>
      </c>
      <c r="L664" s="8"/>
      <c r="M664" s="9">
        <v>525.1</v>
      </c>
      <c r="N664" s="9">
        <f t="shared" si="60"/>
        <v>2100.4</v>
      </c>
      <c r="O664" s="9"/>
      <c r="P664" s="9"/>
      <c r="Q664" s="10" t="s">
        <v>159</v>
      </c>
    </row>
    <row r="665" spans="1:17" s="11" customFormat="1" ht="40.5" x14ac:dyDescent="0.3">
      <c r="A665" s="18" t="s">
        <v>1193</v>
      </c>
      <c r="B665" s="19">
        <v>45783</v>
      </c>
      <c r="C665" s="20"/>
      <c r="D665" s="12" t="s">
        <v>2321</v>
      </c>
      <c r="E665" s="12" t="s">
        <v>2414</v>
      </c>
      <c r="F665" s="21" t="s">
        <v>1779</v>
      </c>
      <c r="G665" s="8"/>
      <c r="H665" s="8">
        <v>6</v>
      </c>
      <c r="I665" s="8"/>
      <c r="J665" s="8"/>
      <c r="K665" s="8">
        <f t="shared" si="62"/>
        <v>6</v>
      </c>
      <c r="L665" s="8"/>
      <c r="M665" s="9">
        <v>515.66</v>
      </c>
      <c r="N665" s="9">
        <f t="shared" si="60"/>
        <v>3093.96</v>
      </c>
      <c r="O665" s="9"/>
      <c r="P665" s="9"/>
      <c r="Q665" s="10" t="s">
        <v>159</v>
      </c>
    </row>
    <row r="666" spans="1:17" s="11" customFormat="1" ht="39.950000000000003" customHeight="1" x14ac:dyDescent="0.3">
      <c r="A666" s="18" t="s">
        <v>1194</v>
      </c>
      <c r="B666" s="23" t="s">
        <v>4</v>
      </c>
      <c r="C666" s="8"/>
      <c r="D666" s="12" t="s">
        <v>2321</v>
      </c>
      <c r="E666" s="12" t="s">
        <v>182</v>
      </c>
      <c r="F666" s="18" t="s">
        <v>1779</v>
      </c>
      <c r="G666" s="8">
        <f>14-1-2-1</f>
        <v>10</v>
      </c>
      <c r="H666" s="8"/>
      <c r="I666" s="8">
        <f>8+2</f>
        <v>10</v>
      </c>
      <c r="J666" s="8"/>
      <c r="K666" s="8">
        <f>+G666+H666+-I666</f>
        <v>0</v>
      </c>
      <c r="L666" s="8"/>
      <c r="M666" s="9">
        <v>333.76</v>
      </c>
      <c r="N666" s="9">
        <f t="shared" si="60"/>
        <v>0</v>
      </c>
      <c r="O666" s="9"/>
      <c r="P666" s="9"/>
      <c r="Q666" s="10" t="s">
        <v>159</v>
      </c>
    </row>
    <row r="667" spans="1:17" s="11" customFormat="1" ht="39.950000000000003" customHeight="1" x14ac:dyDescent="0.3">
      <c r="A667" s="18" t="s">
        <v>1195</v>
      </c>
      <c r="B667" s="23"/>
      <c r="C667" s="8"/>
      <c r="D667" s="12" t="s">
        <v>2394</v>
      </c>
      <c r="E667" s="12" t="s">
        <v>78</v>
      </c>
      <c r="F667" s="18" t="s">
        <v>1779</v>
      </c>
      <c r="G667" s="8">
        <v>17</v>
      </c>
      <c r="H667" s="8"/>
      <c r="I667" s="8"/>
      <c r="J667" s="8"/>
      <c r="K667" s="8">
        <f>+G667+H667-I667</f>
        <v>17</v>
      </c>
      <c r="L667" s="8"/>
      <c r="M667" s="9">
        <v>611</v>
      </c>
      <c r="N667" s="9">
        <f t="shared" si="60"/>
        <v>10387</v>
      </c>
      <c r="O667" s="9"/>
      <c r="P667" s="9"/>
      <c r="Q667" s="10" t="s">
        <v>25</v>
      </c>
    </row>
    <row r="668" spans="1:17" s="11" customFormat="1" ht="39.950000000000003" customHeight="1" x14ac:dyDescent="0.3">
      <c r="A668" s="18" t="s">
        <v>1196</v>
      </c>
      <c r="B668" s="23"/>
      <c r="C668" s="8"/>
      <c r="D668" s="12" t="s">
        <v>2394</v>
      </c>
      <c r="E668" s="12" t="s">
        <v>80</v>
      </c>
      <c r="F668" s="18" t="s">
        <v>1779</v>
      </c>
      <c r="G668" s="8">
        <v>3</v>
      </c>
      <c r="H668" s="8"/>
      <c r="I668" s="8">
        <v>1</v>
      </c>
      <c r="J668" s="8"/>
      <c r="K668" s="8">
        <f>+G668+H668-I668</f>
        <v>2</v>
      </c>
      <c r="L668" s="8"/>
      <c r="M668" s="9">
        <v>5000</v>
      </c>
      <c r="N668" s="9">
        <f t="shared" si="60"/>
        <v>10000</v>
      </c>
      <c r="O668" s="9"/>
      <c r="P668" s="9"/>
      <c r="Q668" s="10" t="s">
        <v>25</v>
      </c>
    </row>
    <row r="669" spans="1:17" s="11" customFormat="1" ht="39.950000000000003" customHeight="1" x14ac:dyDescent="0.3">
      <c r="A669" s="18" t="s">
        <v>1197</v>
      </c>
      <c r="B669" s="23"/>
      <c r="C669" s="8"/>
      <c r="D669" s="12" t="s">
        <v>2394</v>
      </c>
      <c r="E669" s="12" t="s">
        <v>81</v>
      </c>
      <c r="F669" s="18" t="s">
        <v>1779</v>
      </c>
      <c r="G669" s="8">
        <f>4+5</f>
        <v>9</v>
      </c>
      <c r="H669" s="8"/>
      <c r="I669" s="8"/>
      <c r="J669" s="8"/>
      <c r="K669" s="8">
        <f>+G669+H669-I669</f>
        <v>9</v>
      </c>
      <c r="L669" s="8"/>
      <c r="M669" s="9">
        <v>10800</v>
      </c>
      <c r="N669" s="9">
        <f t="shared" si="60"/>
        <v>97200</v>
      </c>
      <c r="O669" s="9"/>
      <c r="P669" s="9"/>
      <c r="Q669" s="10" t="s">
        <v>25</v>
      </c>
    </row>
    <row r="670" spans="1:17" s="11" customFormat="1" ht="39.950000000000003" customHeight="1" x14ac:dyDescent="0.3">
      <c r="A670" s="18" t="s">
        <v>1198</v>
      </c>
      <c r="B670" s="23"/>
      <c r="C670" s="8"/>
      <c r="D670" s="12" t="s">
        <v>2394</v>
      </c>
      <c r="E670" s="12" t="s">
        <v>82</v>
      </c>
      <c r="F670" s="18" t="s">
        <v>1779</v>
      </c>
      <c r="G670" s="8">
        <v>3</v>
      </c>
      <c r="H670" s="8"/>
      <c r="I670" s="8"/>
      <c r="J670" s="8"/>
      <c r="K670" s="8">
        <f>+G670+H670-I670</f>
        <v>3</v>
      </c>
      <c r="L670" s="8"/>
      <c r="M670" s="9">
        <v>1495</v>
      </c>
      <c r="N670" s="9">
        <f t="shared" si="60"/>
        <v>4485</v>
      </c>
      <c r="O670" s="9"/>
      <c r="P670" s="9"/>
      <c r="Q670" s="10" t="s">
        <v>25</v>
      </c>
    </row>
    <row r="671" spans="1:17" s="11" customFormat="1" ht="39.950000000000003" customHeight="1" x14ac:dyDescent="0.3">
      <c r="A671" s="18" t="s">
        <v>1199</v>
      </c>
      <c r="B671" s="23">
        <v>45631</v>
      </c>
      <c r="C671" s="8"/>
      <c r="D671" s="12" t="s">
        <v>2394</v>
      </c>
      <c r="E671" s="12" t="s">
        <v>1378</v>
      </c>
      <c r="F671" s="18" t="s">
        <v>1779</v>
      </c>
      <c r="G671" s="8">
        <v>10</v>
      </c>
      <c r="H671" s="8"/>
      <c r="I671" s="8">
        <v>10</v>
      </c>
      <c r="J671" s="8"/>
      <c r="K671" s="8">
        <f>+G671+H671-I671+J671</f>
        <v>0</v>
      </c>
      <c r="L671" s="8"/>
      <c r="M671" s="9">
        <v>348.1</v>
      </c>
      <c r="N671" s="9">
        <f t="shared" si="60"/>
        <v>0</v>
      </c>
      <c r="O671" s="9"/>
      <c r="P671" s="9"/>
      <c r="Q671" s="10" t="s">
        <v>25</v>
      </c>
    </row>
    <row r="672" spans="1:17" s="11" customFormat="1" ht="39.950000000000003" customHeight="1" x14ac:dyDescent="0.3">
      <c r="A672" s="18" t="s">
        <v>1200</v>
      </c>
      <c r="B672" s="23" t="s">
        <v>257</v>
      </c>
      <c r="C672" s="8"/>
      <c r="D672" s="12" t="s">
        <v>2438</v>
      </c>
      <c r="E672" s="12" t="s">
        <v>268</v>
      </c>
      <c r="F672" s="18" t="s">
        <v>1779</v>
      </c>
      <c r="G672" s="8">
        <v>1</v>
      </c>
      <c r="H672" s="8"/>
      <c r="I672" s="8">
        <v>1</v>
      </c>
      <c r="J672" s="8"/>
      <c r="K672" s="8">
        <f>+G672+H672-I672</f>
        <v>0</v>
      </c>
      <c r="L672" s="8"/>
      <c r="M672" s="9">
        <v>676</v>
      </c>
      <c r="N672" s="9">
        <f t="shared" si="60"/>
        <v>0</v>
      </c>
      <c r="O672" s="9"/>
      <c r="P672" s="9"/>
      <c r="Q672" s="10" t="s">
        <v>235</v>
      </c>
    </row>
    <row r="673" spans="1:17" s="11" customFormat="1" ht="39.950000000000003" customHeight="1" x14ac:dyDescent="0.3">
      <c r="A673" s="18" t="s">
        <v>1201</v>
      </c>
      <c r="B673" s="23"/>
      <c r="C673" s="8"/>
      <c r="D673" s="12" t="s">
        <v>2438</v>
      </c>
      <c r="E673" s="12" t="s">
        <v>1622</v>
      </c>
      <c r="F673" s="18" t="s">
        <v>1779</v>
      </c>
      <c r="G673" s="8">
        <v>0</v>
      </c>
      <c r="H673" s="8">
        <v>20</v>
      </c>
      <c r="I673" s="8">
        <f>3+1+3+1+1+1+1+2+2+1+3+1</f>
        <v>20</v>
      </c>
      <c r="J673" s="8"/>
      <c r="K673" s="8">
        <f>+G673+H673-I673</f>
        <v>0</v>
      </c>
      <c r="L673" s="8"/>
      <c r="M673" s="9">
        <v>495.6</v>
      </c>
      <c r="N673" s="9">
        <f t="shared" si="60"/>
        <v>0</v>
      </c>
      <c r="O673" s="9"/>
      <c r="P673" s="9"/>
      <c r="Q673" s="10" t="s">
        <v>235</v>
      </c>
    </row>
    <row r="674" spans="1:17" s="11" customFormat="1" ht="39.950000000000003" customHeight="1" x14ac:dyDescent="0.3">
      <c r="A674" s="18" t="s">
        <v>1202</v>
      </c>
      <c r="B674" s="23" t="s">
        <v>257</v>
      </c>
      <c r="C674" s="8"/>
      <c r="D674" s="12" t="s">
        <v>2318</v>
      </c>
      <c r="E674" s="12" t="s">
        <v>183</v>
      </c>
      <c r="F674" s="18" t="s">
        <v>1779</v>
      </c>
      <c r="G674" s="8">
        <f>5-1</f>
        <v>4</v>
      </c>
      <c r="H674" s="8"/>
      <c r="I674" s="8">
        <f>2+1+1</f>
        <v>4</v>
      </c>
      <c r="J674" s="8"/>
      <c r="K674" s="8">
        <f>+G674+H674+-I674</f>
        <v>0</v>
      </c>
      <c r="L674" s="8"/>
      <c r="M674" s="9">
        <v>546.66</v>
      </c>
      <c r="N674" s="9">
        <f t="shared" si="60"/>
        <v>0</v>
      </c>
      <c r="O674" s="9"/>
      <c r="P674" s="9"/>
      <c r="Q674" s="10" t="s">
        <v>159</v>
      </c>
    </row>
    <row r="675" spans="1:17" s="11" customFormat="1" ht="39.950000000000003" customHeight="1" x14ac:dyDescent="0.3">
      <c r="A675" s="18" t="s">
        <v>1203</v>
      </c>
      <c r="B675" s="23" t="s">
        <v>1759</v>
      </c>
      <c r="C675" s="8"/>
      <c r="D675" s="12" t="s">
        <v>2318</v>
      </c>
      <c r="E675" s="12" t="s">
        <v>1758</v>
      </c>
      <c r="F675" s="18" t="s">
        <v>1779</v>
      </c>
      <c r="G675" s="8"/>
      <c r="H675" s="8">
        <v>5</v>
      </c>
      <c r="I675" s="8">
        <f>1+3</f>
        <v>4</v>
      </c>
      <c r="J675" s="8"/>
      <c r="K675" s="8">
        <f>+G675+H675+-I675</f>
        <v>1</v>
      </c>
      <c r="L675" s="8"/>
      <c r="M675" s="9">
        <v>139.83000000000001</v>
      </c>
      <c r="N675" s="9">
        <f t="shared" si="60"/>
        <v>139.83000000000001</v>
      </c>
      <c r="O675" s="9"/>
      <c r="P675" s="9"/>
      <c r="Q675" s="10" t="s">
        <v>159</v>
      </c>
    </row>
    <row r="676" spans="1:17" s="11" customFormat="1" ht="40.5" x14ac:dyDescent="0.3">
      <c r="A676" s="18" t="s">
        <v>1206</v>
      </c>
      <c r="B676" s="23" t="s">
        <v>257</v>
      </c>
      <c r="C676" s="8"/>
      <c r="D676" s="12" t="s">
        <v>2318</v>
      </c>
      <c r="E676" s="12" t="s">
        <v>1559</v>
      </c>
      <c r="F676" s="18" t="s">
        <v>1779</v>
      </c>
      <c r="G676" s="8"/>
      <c r="H676" s="8">
        <v>5</v>
      </c>
      <c r="I676" s="8">
        <f>1+1+3</f>
        <v>5</v>
      </c>
      <c r="J676" s="8"/>
      <c r="K676" s="8">
        <f>+G676+H676-I676+J676</f>
        <v>0</v>
      </c>
      <c r="L676" s="8"/>
      <c r="M676" s="9">
        <v>295</v>
      </c>
      <c r="N676" s="9">
        <f t="shared" si="60"/>
        <v>0</v>
      </c>
      <c r="O676" s="9"/>
      <c r="P676" s="9"/>
      <c r="Q676" s="10" t="s">
        <v>1307</v>
      </c>
    </row>
    <row r="677" spans="1:17" s="11" customFormat="1" ht="20.25" x14ac:dyDescent="0.3">
      <c r="A677" s="18" t="s">
        <v>1207</v>
      </c>
      <c r="B677" s="23" t="s">
        <v>257</v>
      </c>
      <c r="C677" s="8"/>
      <c r="D677" s="12" t="s">
        <v>2318</v>
      </c>
      <c r="E677" s="12" t="s">
        <v>1760</v>
      </c>
      <c r="F677" s="18" t="s">
        <v>1779</v>
      </c>
      <c r="G677" s="8"/>
      <c r="H677" s="8">
        <v>10</v>
      </c>
      <c r="I677" s="8">
        <f>2+1</f>
        <v>3</v>
      </c>
      <c r="J677" s="8"/>
      <c r="K677" s="8">
        <f>+G677+H677-I677+J677</f>
        <v>7</v>
      </c>
      <c r="L677" s="8"/>
      <c r="M677" s="9">
        <v>139.83000000000001</v>
      </c>
      <c r="N677" s="9">
        <f t="shared" si="60"/>
        <v>978.81000000000006</v>
      </c>
      <c r="O677" s="9"/>
      <c r="P677" s="9"/>
      <c r="Q677" s="10" t="s">
        <v>1479</v>
      </c>
    </row>
    <row r="678" spans="1:17" s="11" customFormat="1" ht="20.25" x14ac:dyDescent="0.3">
      <c r="A678" s="18" t="s">
        <v>1208</v>
      </c>
      <c r="B678" s="23" t="s">
        <v>257</v>
      </c>
      <c r="C678" s="8"/>
      <c r="D678" s="12" t="s">
        <v>2318</v>
      </c>
      <c r="E678" s="12" t="s">
        <v>1432</v>
      </c>
      <c r="F678" s="18" t="s">
        <v>1779</v>
      </c>
      <c r="G678" s="8"/>
      <c r="H678" s="8">
        <v>5</v>
      </c>
      <c r="I678" s="8">
        <v>1</v>
      </c>
      <c r="J678" s="8"/>
      <c r="K678" s="8">
        <f>+G678+H678-I678+J678</f>
        <v>4</v>
      </c>
      <c r="L678" s="8"/>
      <c r="M678" s="9">
        <v>646.64</v>
      </c>
      <c r="N678" s="9">
        <f t="shared" si="60"/>
        <v>2586.56</v>
      </c>
      <c r="O678" s="9"/>
      <c r="P678" s="9"/>
      <c r="Q678" s="10" t="s">
        <v>1321</v>
      </c>
    </row>
    <row r="679" spans="1:17" s="11" customFormat="1" ht="40.5" x14ac:dyDescent="0.3">
      <c r="A679" s="18" t="s">
        <v>1209</v>
      </c>
      <c r="B679" s="23"/>
      <c r="C679" s="8"/>
      <c r="D679" s="12"/>
      <c r="E679" s="12" t="s">
        <v>1672</v>
      </c>
      <c r="F679" s="18" t="s">
        <v>1780</v>
      </c>
      <c r="G679" s="8">
        <v>4</v>
      </c>
      <c r="H679" s="8"/>
      <c r="I679" s="8"/>
      <c r="J679" s="8">
        <v>0</v>
      </c>
      <c r="K679" s="8">
        <f>+G679+H679-I679+J679</f>
        <v>4</v>
      </c>
      <c r="L679" s="8"/>
      <c r="M679" s="9">
        <v>1240</v>
      </c>
      <c r="N679" s="9">
        <f>+L679*M679</f>
        <v>0</v>
      </c>
      <c r="O679" s="9"/>
      <c r="P679" s="9"/>
      <c r="Q679" s="10" t="s">
        <v>1887</v>
      </c>
    </row>
    <row r="680" spans="1:17" s="11" customFormat="1" ht="40.5" x14ac:dyDescent="0.3">
      <c r="A680" s="18" t="s">
        <v>1222</v>
      </c>
      <c r="B680" s="23"/>
      <c r="C680" s="8"/>
      <c r="D680" s="12"/>
      <c r="E680" s="12" t="s">
        <v>1667</v>
      </c>
      <c r="F680" s="18" t="s">
        <v>1780</v>
      </c>
      <c r="G680" s="8">
        <v>3</v>
      </c>
      <c r="H680" s="8"/>
      <c r="I680" s="8"/>
      <c r="J680" s="8">
        <v>0</v>
      </c>
      <c r="K680" s="8">
        <f>+G680+H680-I680+J680</f>
        <v>3</v>
      </c>
      <c r="L680" s="8"/>
      <c r="M680" s="9">
        <v>834</v>
      </c>
      <c r="N680" s="9">
        <f>+L680*M680</f>
        <v>0</v>
      </c>
      <c r="O680" s="9"/>
      <c r="P680" s="9"/>
      <c r="Q680" s="10" t="s">
        <v>1887</v>
      </c>
    </row>
    <row r="681" spans="1:17" s="11" customFormat="1" ht="40.5" x14ac:dyDescent="0.3">
      <c r="A681" s="18" t="s">
        <v>1223</v>
      </c>
      <c r="B681" s="23" t="s">
        <v>257</v>
      </c>
      <c r="C681" s="8"/>
      <c r="D681" s="12" t="s">
        <v>2469</v>
      </c>
      <c r="E681" s="12" t="s">
        <v>184</v>
      </c>
      <c r="F681" s="18" t="s">
        <v>1779</v>
      </c>
      <c r="G681" s="8">
        <v>1</v>
      </c>
      <c r="H681" s="8"/>
      <c r="I681" s="8"/>
      <c r="J681" s="8"/>
      <c r="K681" s="8">
        <f>+G681+H681+-I681</f>
        <v>1</v>
      </c>
      <c r="L681" s="8"/>
      <c r="M681" s="9">
        <v>10563.71</v>
      </c>
      <c r="N681" s="9">
        <f t="shared" ref="N681:N706" si="63">+K681*M681</f>
        <v>10563.71</v>
      </c>
      <c r="O681" s="9"/>
      <c r="P681" s="9"/>
      <c r="Q681" s="10" t="s">
        <v>159</v>
      </c>
    </row>
    <row r="682" spans="1:17" s="11" customFormat="1" ht="20.25" x14ac:dyDescent="0.3">
      <c r="A682" s="18" t="s">
        <v>1225</v>
      </c>
      <c r="B682" s="23">
        <v>45789</v>
      </c>
      <c r="C682" s="8"/>
      <c r="D682" s="12" t="s">
        <v>2325</v>
      </c>
      <c r="E682" s="12" t="s">
        <v>2106</v>
      </c>
      <c r="F682" s="18" t="s">
        <v>1779</v>
      </c>
      <c r="G682" s="8"/>
      <c r="H682" s="8">
        <v>3</v>
      </c>
      <c r="I682" s="8">
        <v>3</v>
      </c>
      <c r="J682" s="8"/>
      <c r="K682" s="8">
        <f>+G682+H682-I682+J682</f>
        <v>0</v>
      </c>
      <c r="L682" s="8"/>
      <c r="M682" s="9">
        <v>165.2</v>
      </c>
      <c r="N682" s="9">
        <f t="shared" si="63"/>
        <v>0</v>
      </c>
      <c r="O682" s="9"/>
      <c r="P682" s="9"/>
      <c r="Q682" s="10" t="s">
        <v>1321</v>
      </c>
    </row>
    <row r="683" spans="1:17" s="11" customFormat="1" ht="20.25" x14ac:dyDescent="0.3">
      <c r="A683" s="18" t="s">
        <v>1272</v>
      </c>
      <c r="B683" s="23" t="s">
        <v>257</v>
      </c>
      <c r="C683" s="8"/>
      <c r="D683" s="12" t="s">
        <v>2327</v>
      </c>
      <c r="E683" s="12" t="s">
        <v>1515</v>
      </c>
      <c r="F683" s="18" t="s">
        <v>1779</v>
      </c>
      <c r="G683" s="8"/>
      <c r="H683" s="8">
        <v>6</v>
      </c>
      <c r="I683" s="8">
        <v>6</v>
      </c>
      <c r="J683" s="8"/>
      <c r="K683" s="8">
        <f>+G683+H683-I683+J683</f>
        <v>0</v>
      </c>
      <c r="L683" s="8"/>
      <c r="M683" s="9">
        <v>456.15260000000001</v>
      </c>
      <c r="N683" s="9">
        <f t="shared" si="63"/>
        <v>0</v>
      </c>
      <c r="O683" s="9"/>
      <c r="P683" s="9"/>
      <c r="Q683" s="10" t="s">
        <v>520</v>
      </c>
    </row>
    <row r="684" spans="1:17" s="11" customFormat="1" ht="40.5" x14ac:dyDescent="0.3">
      <c r="A684" s="18" t="s">
        <v>1273</v>
      </c>
      <c r="B684" s="23" t="s">
        <v>257</v>
      </c>
      <c r="C684" s="8"/>
      <c r="D684" s="12" t="s">
        <v>2321</v>
      </c>
      <c r="E684" s="12" t="s">
        <v>185</v>
      </c>
      <c r="F684" s="18" t="s">
        <v>1779</v>
      </c>
      <c r="G684" s="8">
        <v>500</v>
      </c>
      <c r="H684" s="8"/>
      <c r="I684" s="8"/>
      <c r="J684" s="8"/>
      <c r="K684" s="8">
        <v>7.48</v>
      </c>
      <c r="L684" s="8"/>
      <c r="M684" s="9">
        <v>3738.24</v>
      </c>
      <c r="N684" s="9">
        <f t="shared" si="63"/>
        <v>27962.035199999998</v>
      </c>
      <c r="O684" s="9"/>
      <c r="P684" s="9"/>
      <c r="Q684" s="10" t="s">
        <v>159</v>
      </c>
    </row>
    <row r="685" spans="1:17" s="11" customFormat="1" ht="20.25" x14ac:dyDescent="0.3">
      <c r="A685" s="18" t="s">
        <v>1274</v>
      </c>
      <c r="B685" s="23" t="s">
        <v>257</v>
      </c>
      <c r="C685" s="8"/>
      <c r="D685" s="12" t="s">
        <v>2321</v>
      </c>
      <c r="E685" s="12" t="s">
        <v>1256</v>
      </c>
      <c r="F685" s="18" t="s">
        <v>1779</v>
      </c>
      <c r="G685" s="8">
        <v>18</v>
      </c>
      <c r="H685" s="8"/>
      <c r="I685" s="8">
        <f>2+9</f>
        <v>11</v>
      </c>
      <c r="J685" s="8"/>
      <c r="K685" s="8">
        <f>+G685+H685+-I685</f>
        <v>7</v>
      </c>
      <c r="L685" s="8"/>
      <c r="M685" s="9">
        <v>155</v>
      </c>
      <c r="N685" s="9">
        <f t="shared" si="63"/>
        <v>1085</v>
      </c>
      <c r="O685" s="9"/>
      <c r="P685" s="9"/>
      <c r="Q685" s="10" t="s">
        <v>433</v>
      </c>
    </row>
    <row r="686" spans="1:17" s="11" customFormat="1" ht="20.25" x14ac:dyDescent="0.3">
      <c r="A686" s="18" t="s">
        <v>1275</v>
      </c>
      <c r="B686" s="23" t="s">
        <v>257</v>
      </c>
      <c r="C686" s="8"/>
      <c r="D686" s="12" t="s">
        <v>2321</v>
      </c>
      <c r="E686" s="12" t="s">
        <v>1257</v>
      </c>
      <c r="F686" s="18" t="s">
        <v>1779</v>
      </c>
      <c r="G686" s="8">
        <v>12</v>
      </c>
      <c r="H686" s="8"/>
      <c r="I686" s="8">
        <v>4</v>
      </c>
      <c r="J686" s="8"/>
      <c r="K686" s="8">
        <f>+G686+H686+-I686</f>
        <v>8</v>
      </c>
      <c r="L686" s="8">
        <v>8</v>
      </c>
      <c r="M686" s="9">
        <v>155</v>
      </c>
      <c r="N686" s="9">
        <f t="shared" si="63"/>
        <v>1240</v>
      </c>
      <c r="O686" s="9"/>
      <c r="P686" s="9"/>
      <c r="Q686" s="10" t="s">
        <v>433</v>
      </c>
    </row>
    <row r="687" spans="1:17" s="11" customFormat="1" ht="20.25" x14ac:dyDescent="0.3">
      <c r="A687" s="18" t="s">
        <v>1281</v>
      </c>
      <c r="B687" s="23" t="s">
        <v>257</v>
      </c>
      <c r="C687" s="8"/>
      <c r="D687" s="12" t="s">
        <v>2321</v>
      </c>
      <c r="E687" s="12" t="s">
        <v>2174</v>
      </c>
      <c r="F687" s="18" t="s">
        <v>1779</v>
      </c>
      <c r="G687" s="8">
        <v>4</v>
      </c>
      <c r="H687" s="8"/>
      <c r="I687" s="8"/>
      <c r="J687" s="8"/>
      <c r="K687" s="8">
        <f>+G687+H687+-I687</f>
        <v>4</v>
      </c>
      <c r="L687" s="8">
        <v>4</v>
      </c>
      <c r="M687" s="9">
        <v>1357</v>
      </c>
      <c r="N687" s="9">
        <f t="shared" si="63"/>
        <v>5428</v>
      </c>
      <c r="O687" s="9"/>
      <c r="P687" s="9"/>
      <c r="Q687" s="10" t="s">
        <v>433</v>
      </c>
    </row>
    <row r="688" spans="1:17" s="11" customFormat="1" ht="40.5" x14ac:dyDescent="0.3">
      <c r="A688" s="18" t="s">
        <v>1282</v>
      </c>
      <c r="B688" s="23"/>
      <c r="C688" s="8"/>
      <c r="D688" s="12" t="s">
        <v>2321</v>
      </c>
      <c r="E688" s="12" t="s">
        <v>83</v>
      </c>
      <c r="F688" s="18" t="s">
        <v>1779</v>
      </c>
      <c r="G688" s="8">
        <v>100</v>
      </c>
      <c r="H688" s="8"/>
      <c r="I688" s="8"/>
      <c r="J688" s="8"/>
      <c r="K688" s="8">
        <f>+G688+H688-I688</f>
        <v>100</v>
      </c>
      <c r="L688" s="8"/>
      <c r="M688" s="9">
        <v>23.6</v>
      </c>
      <c r="N688" s="9">
        <f t="shared" si="63"/>
        <v>2360</v>
      </c>
      <c r="O688" s="9"/>
      <c r="P688" s="9"/>
      <c r="Q688" s="10" t="s">
        <v>25</v>
      </c>
    </row>
    <row r="689" spans="1:17" s="11" customFormat="1" ht="40.5" x14ac:dyDescent="0.3">
      <c r="A689" s="18" t="s">
        <v>1283</v>
      </c>
      <c r="B689" s="23" t="s">
        <v>4</v>
      </c>
      <c r="C689" s="8"/>
      <c r="D689" s="12" t="s">
        <v>2321</v>
      </c>
      <c r="E689" s="12" t="s">
        <v>269</v>
      </c>
      <c r="F689" s="18" t="s">
        <v>1779</v>
      </c>
      <c r="G689" s="8">
        <f>14-1</f>
        <v>13</v>
      </c>
      <c r="H689" s="8"/>
      <c r="I689" s="8">
        <f>1+1+2</f>
        <v>4</v>
      </c>
      <c r="J689" s="8"/>
      <c r="K689" s="8">
        <f>+G689+H689+-I689</f>
        <v>9</v>
      </c>
      <c r="L689" s="8"/>
      <c r="M689" s="9">
        <v>4012</v>
      </c>
      <c r="N689" s="9">
        <f t="shared" si="63"/>
        <v>36108</v>
      </c>
      <c r="O689" s="9"/>
      <c r="P689" s="9"/>
      <c r="Q689" s="10" t="s">
        <v>235</v>
      </c>
    </row>
    <row r="690" spans="1:17" s="11" customFormat="1" ht="40.5" x14ac:dyDescent="0.3">
      <c r="A690" s="18" t="s">
        <v>1288</v>
      </c>
      <c r="B690" s="23" t="s">
        <v>257</v>
      </c>
      <c r="C690" s="8"/>
      <c r="D690" s="12" t="s">
        <v>2321</v>
      </c>
      <c r="E690" s="12" t="s">
        <v>270</v>
      </c>
      <c r="F690" s="18" t="s">
        <v>1779</v>
      </c>
      <c r="G690" s="8">
        <v>10</v>
      </c>
      <c r="H690" s="8"/>
      <c r="I690" s="8">
        <v>1</v>
      </c>
      <c r="J690" s="8"/>
      <c r="K690" s="8">
        <f>+G690+H690+-I690</f>
        <v>9</v>
      </c>
      <c r="L690" s="8"/>
      <c r="M690" s="9">
        <v>2141.6999999999998</v>
      </c>
      <c r="N690" s="9">
        <f t="shared" si="63"/>
        <v>19275.3</v>
      </c>
      <c r="O690" s="9"/>
      <c r="P690" s="9"/>
      <c r="Q690" s="10" t="s">
        <v>235</v>
      </c>
    </row>
    <row r="691" spans="1:17" s="11" customFormat="1" ht="20.25" x14ac:dyDescent="0.3">
      <c r="A691" s="18" t="s">
        <v>1289</v>
      </c>
      <c r="B691" s="23">
        <v>45804</v>
      </c>
      <c r="C691" s="8"/>
      <c r="D691" s="12" t="s">
        <v>2321</v>
      </c>
      <c r="E691" s="12" t="s">
        <v>2041</v>
      </c>
      <c r="F691" s="18" t="s">
        <v>1779</v>
      </c>
      <c r="G691" s="8"/>
      <c r="H691" s="8">
        <v>48</v>
      </c>
      <c r="I691" s="8"/>
      <c r="J691" s="8"/>
      <c r="K691" s="8">
        <f>+G691+H691-I691+J691</f>
        <v>48</v>
      </c>
      <c r="L691" s="8"/>
      <c r="M691" s="9">
        <v>96</v>
      </c>
      <c r="N691" s="9">
        <f t="shared" si="63"/>
        <v>4608</v>
      </c>
      <c r="O691" s="9"/>
      <c r="P691" s="9"/>
      <c r="Q691" s="10" t="s">
        <v>433</v>
      </c>
    </row>
    <row r="692" spans="1:17" s="11" customFormat="1" ht="20.25" x14ac:dyDescent="0.3">
      <c r="A692" s="18" t="s">
        <v>1290</v>
      </c>
      <c r="B692" s="23">
        <v>45804</v>
      </c>
      <c r="C692" s="8"/>
      <c r="D692" s="12" t="s">
        <v>2321</v>
      </c>
      <c r="E692" s="12" t="s">
        <v>2040</v>
      </c>
      <c r="F692" s="18" t="s">
        <v>1779</v>
      </c>
      <c r="G692" s="8"/>
      <c r="H692" s="8">
        <v>48</v>
      </c>
      <c r="I692" s="8"/>
      <c r="J692" s="8"/>
      <c r="K692" s="8">
        <f>+G692+H692-I692+J692</f>
        <v>48</v>
      </c>
      <c r="L692" s="8"/>
      <c r="M692" s="9">
        <v>98</v>
      </c>
      <c r="N692" s="9">
        <f t="shared" si="63"/>
        <v>4704</v>
      </c>
      <c r="O692" s="9"/>
      <c r="P692" s="9"/>
      <c r="Q692" s="10" t="s">
        <v>433</v>
      </c>
    </row>
    <row r="693" spans="1:17" s="11" customFormat="1" ht="40.5" customHeight="1" x14ac:dyDescent="0.3">
      <c r="A693" s="18" t="s">
        <v>1298</v>
      </c>
      <c r="B693" s="23" t="s">
        <v>4</v>
      </c>
      <c r="C693" s="8"/>
      <c r="D693" s="12" t="s">
        <v>2409</v>
      </c>
      <c r="E693" s="12" t="s">
        <v>84</v>
      </c>
      <c r="F693" s="18" t="s">
        <v>1779</v>
      </c>
      <c r="G693" s="8">
        <v>2</v>
      </c>
      <c r="H693" s="8"/>
      <c r="I693" s="8"/>
      <c r="J693" s="8"/>
      <c r="K693" s="8">
        <f>+G693+H693-I693</f>
        <v>2</v>
      </c>
      <c r="L693" s="8"/>
      <c r="M693" s="9">
        <v>1850</v>
      </c>
      <c r="N693" s="9">
        <f t="shared" si="63"/>
        <v>3700</v>
      </c>
      <c r="O693" s="9"/>
      <c r="P693" s="9"/>
      <c r="Q693" s="10" t="s">
        <v>25</v>
      </c>
    </row>
    <row r="694" spans="1:17" s="11" customFormat="1" ht="20.25" x14ac:dyDescent="0.3">
      <c r="A694" s="18" t="s">
        <v>1299</v>
      </c>
      <c r="B694" s="23" t="s">
        <v>4</v>
      </c>
      <c r="C694" s="8"/>
      <c r="D694" s="12" t="s">
        <v>2409</v>
      </c>
      <c r="E694" s="12" t="s">
        <v>85</v>
      </c>
      <c r="F694" s="18" t="s">
        <v>1779</v>
      </c>
      <c r="G694" s="8">
        <v>1</v>
      </c>
      <c r="H694" s="8"/>
      <c r="I694" s="8"/>
      <c r="J694" s="8"/>
      <c r="K694" s="8">
        <f>+G694+H694-I694</f>
        <v>1</v>
      </c>
      <c r="L694" s="8"/>
      <c r="M694" s="9">
        <v>3695</v>
      </c>
      <c r="N694" s="9">
        <f t="shared" si="63"/>
        <v>3695</v>
      </c>
      <c r="O694" s="9"/>
      <c r="P694" s="9"/>
      <c r="Q694" s="10" t="s">
        <v>25</v>
      </c>
    </row>
    <row r="695" spans="1:17" s="11" customFormat="1" ht="39.950000000000003" customHeight="1" x14ac:dyDescent="0.3">
      <c r="A695" s="18" t="s">
        <v>1300</v>
      </c>
      <c r="B695" s="23" t="s">
        <v>4</v>
      </c>
      <c r="C695" s="8"/>
      <c r="D695" s="12"/>
      <c r="E695" s="12" t="s">
        <v>1574</v>
      </c>
      <c r="F695" s="18" t="s">
        <v>1779</v>
      </c>
      <c r="G695" s="8">
        <v>9</v>
      </c>
      <c r="H695" s="8"/>
      <c r="I695" s="8">
        <f>1+1</f>
        <v>2</v>
      </c>
      <c r="J695" s="8"/>
      <c r="K695" s="8">
        <f>+G695+H695+-I695</f>
        <v>7</v>
      </c>
      <c r="L695" s="8"/>
      <c r="M695" s="9">
        <v>270.55</v>
      </c>
      <c r="N695" s="9">
        <f t="shared" si="63"/>
        <v>1893.8500000000001</v>
      </c>
      <c r="O695" s="9"/>
      <c r="P695" s="9"/>
      <c r="Q695" s="10" t="s">
        <v>433</v>
      </c>
    </row>
    <row r="696" spans="1:17" s="11" customFormat="1" ht="39.950000000000003" customHeight="1" x14ac:dyDescent="0.3">
      <c r="A696" s="18" t="s">
        <v>1301</v>
      </c>
      <c r="B696" s="23">
        <v>45597</v>
      </c>
      <c r="C696" s="8"/>
      <c r="D696" s="12" t="s">
        <v>2385</v>
      </c>
      <c r="E696" s="12" t="s">
        <v>1771</v>
      </c>
      <c r="F696" s="18" t="s">
        <v>1779</v>
      </c>
      <c r="G696" s="8">
        <v>14</v>
      </c>
      <c r="H696" s="8"/>
      <c r="I696" s="8">
        <f>1+3+1</f>
        <v>5</v>
      </c>
      <c r="J696" s="8"/>
      <c r="K696" s="8">
        <f>+G696+H696+-I696</f>
        <v>9</v>
      </c>
      <c r="L696" s="8"/>
      <c r="M696" s="9">
        <v>30.63</v>
      </c>
      <c r="N696" s="9">
        <f t="shared" si="63"/>
        <v>275.67</v>
      </c>
      <c r="O696" s="9"/>
      <c r="P696" s="9"/>
      <c r="Q696" s="10" t="s">
        <v>297</v>
      </c>
    </row>
    <row r="697" spans="1:17" s="11" customFormat="1" ht="39.950000000000003" customHeight="1" x14ac:dyDescent="0.3">
      <c r="A697" s="18" t="s">
        <v>1302</v>
      </c>
      <c r="B697" s="23" t="s">
        <v>4</v>
      </c>
      <c r="C697" s="8"/>
      <c r="D697" s="12" t="s">
        <v>2385</v>
      </c>
      <c r="E697" s="12" t="s">
        <v>1644</v>
      </c>
      <c r="F697" s="18" t="s">
        <v>1779</v>
      </c>
      <c r="G697" s="8">
        <v>33</v>
      </c>
      <c r="H697" s="8"/>
      <c r="I697" s="8">
        <f>3+1+2+2+2</f>
        <v>10</v>
      </c>
      <c r="J697" s="8"/>
      <c r="K697" s="8">
        <f>+G697+H697-I697+J697</f>
        <v>23</v>
      </c>
      <c r="L697" s="8"/>
      <c r="M697" s="9">
        <v>50</v>
      </c>
      <c r="N697" s="9">
        <f t="shared" si="63"/>
        <v>1150</v>
      </c>
      <c r="O697" s="9"/>
      <c r="P697" s="9"/>
      <c r="Q697" s="10" t="s">
        <v>297</v>
      </c>
    </row>
    <row r="698" spans="1:17" s="11" customFormat="1" ht="39.950000000000003" customHeight="1" x14ac:dyDescent="0.3">
      <c r="A698" s="18" t="s">
        <v>1303</v>
      </c>
      <c r="B698" s="23" t="s">
        <v>405</v>
      </c>
      <c r="C698" s="8"/>
      <c r="D698" s="12" t="s">
        <v>2385</v>
      </c>
      <c r="E698" s="12" t="s">
        <v>2202</v>
      </c>
      <c r="F698" s="18" t="s">
        <v>1779</v>
      </c>
      <c r="G698" s="8">
        <v>9</v>
      </c>
      <c r="H698" s="8"/>
      <c r="I698" s="8">
        <f>1+1</f>
        <v>2</v>
      </c>
      <c r="J698" s="8"/>
      <c r="K698" s="8">
        <f>+G698+H698-I698</f>
        <v>7</v>
      </c>
      <c r="L698" s="8"/>
      <c r="M698" s="9">
        <v>40</v>
      </c>
      <c r="N698" s="9">
        <f t="shared" si="63"/>
        <v>280</v>
      </c>
      <c r="O698" s="9"/>
      <c r="P698" s="9"/>
      <c r="Q698" s="10" t="s">
        <v>297</v>
      </c>
    </row>
    <row r="699" spans="1:17" s="11" customFormat="1" ht="39.950000000000003" customHeight="1" x14ac:dyDescent="0.3">
      <c r="A699" s="18" t="s">
        <v>1304</v>
      </c>
      <c r="B699" s="23"/>
      <c r="C699" s="8"/>
      <c r="D699" s="12" t="s">
        <v>2385</v>
      </c>
      <c r="E699" s="12" t="s">
        <v>364</v>
      </c>
      <c r="F699" s="18" t="s">
        <v>1779</v>
      </c>
      <c r="G699" s="8">
        <f>3-1</f>
        <v>2</v>
      </c>
      <c r="H699" s="8"/>
      <c r="I699" s="8">
        <f>2</f>
        <v>2</v>
      </c>
      <c r="J699" s="8"/>
      <c r="K699" s="8">
        <f t="shared" ref="K699:K705" si="64">+G699+H699+-I699</f>
        <v>0</v>
      </c>
      <c r="L699" s="8"/>
      <c r="M699" s="9">
        <v>26.46</v>
      </c>
      <c r="N699" s="9">
        <f t="shared" si="63"/>
        <v>0</v>
      </c>
      <c r="O699" s="9"/>
      <c r="P699" s="9"/>
      <c r="Q699" s="10" t="s">
        <v>297</v>
      </c>
    </row>
    <row r="700" spans="1:17" s="11" customFormat="1" ht="39.950000000000003" customHeight="1" x14ac:dyDescent="0.3">
      <c r="A700" s="18" t="s">
        <v>1308</v>
      </c>
      <c r="B700" s="23">
        <v>44852</v>
      </c>
      <c r="C700" s="8"/>
      <c r="D700" s="12" t="s">
        <v>2385</v>
      </c>
      <c r="E700" s="12" t="s">
        <v>1243</v>
      </c>
      <c r="F700" s="18" t="s">
        <v>1779</v>
      </c>
      <c r="G700" s="8">
        <v>5</v>
      </c>
      <c r="H700" s="8"/>
      <c r="I700" s="8">
        <v>1</v>
      </c>
      <c r="J700" s="8"/>
      <c r="K700" s="8">
        <f t="shared" si="64"/>
        <v>4</v>
      </c>
      <c r="L700" s="8"/>
      <c r="M700" s="9">
        <v>77</v>
      </c>
      <c r="N700" s="9">
        <f t="shared" si="63"/>
        <v>308</v>
      </c>
      <c r="O700" s="9"/>
      <c r="P700" s="9"/>
      <c r="Q700" s="10" t="s">
        <v>297</v>
      </c>
    </row>
    <row r="701" spans="1:17" s="11" customFormat="1" ht="39.950000000000003" customHeight="1" x14ac:dyDescent="0.3">
      <c r="A701" s="18" t="s">
        <v>1309</v>
      </c>
      <c r="B701" s="23" t="s">
        <v>257</v>
      </c>
      <c r="C701" s="8">
        <v>10</v>
      </c>
      <c r="D701" s="12" t="s">
        <v>2385</v>
      </c>
      <c r="E701" s="12" t="s">
        <v>365</v>
      </c>
      <c r="F701" s="18" t="s">
        <v>1779</v>
      </c>
      <c r="G701" s="8">
        <v>8</v>
      </c>
      <c r="H701" s="8"/>
      <c r="I701" s="8">
        <f>1+2+2</f>
        <v>5</v>
      </c>
      <c r="J701" s="8"/>
      <c r="K701" s="8">
        <f t="shared" si="64"/>
        <v>3</v>
      </c>
      <c r="L701" s="8"/>
      <c r="M701" s="9">
        <v>77</v>
      </c>
      <c r="N701" s="9">
        <f t="shared" si="63"/>
        <v>231</v>
      </c>
      <c r="O701" s="9"/>
      <c r="P701" s="9"/>
      <c r="Q701" s="10" t="s">
        <v>297</v>
      </c>
    </row>
    <row r="702" spans="1:17" s="11" customFormat="1" ht="40.5" customHeight="1" x14ac:dyDescent="0.3">
      <c r="A702" s="18" t="s">
        <v>1310</v>
      </c>
      <c r="B702" s="23" t="s">
        <v>4</v>
      </c>
      <c r="C702" s="8"/>
      <c r="D702" s="12" t="s">
        <v>2385</v>
      </c>
      <c r="E702" s="12" t="s">
        <v>1251</v>
      </c>
      <c r="F702" s="18" t="s">
        <v>1779</v>
      </c>
      <c r="G702" s="8">
        <v>39</v>
      </c>
      <c r="H702" s="8"/>
      <c r="I702" s="8">
        <f>9+2+2+3+1</f>
        <v>17</v>
      </c>
      <c r="J702" s="8"/>
      <c r="K702" s="8">
        <f t="shared" si="64"/>
        <v>22</v>
      </c>
      <c r="L702" s="8"/>
      <c r="M702" s="9"/>
      <c r="N702" s="9">
        <f t="shared" si="63"/>
        <v>0</v>
      </c>
      <c r="O702" s="9"/>
      <c r="P702" s="9"/>
      <c r="Q702" s="10" t="s">
        <v>297</v>
      </c>
    </row>
    <row r="703" spans="1:17" s="11" customFormat="1" ht="23.25" customHeight="1" x14ac:dyDescent="0.3">
      <c r="A703" s="18" t="s">
        <v>1311</v>
      </c>
      <c r="B703" s="23" t="s">
        <v>4</v>
      </c>
      <c r="C703" s="8"/>
      <c r="D703" s="12" t="s">
        <v>2385</v>
      </c>
      <c r="E703" s="12" t="s">
        <v>1244</v>
      </c>
      <c r="F703" s="18" t="s">
        <v>1779</v>
      </c>
      <c r="G703" s="8">
        <v>3</v>
      </c>
      <c r="H703" s="8"/>
      <c r="I703" s="8">
        <f>1+1</f>
        <v>2</v>
      </c>
      <c r="J703" s="8"/>
      <c r="K703" s="8">
        <f t="shared" si="64"/>
        <v>1</v>
      </c>
      <c r="L703" s="8"/>
      <c r="M703" s="9">
        <v>26.46</v>
      </c>
      <c r="N703" s="9">
        <f t="shared" si="63"/>
        <v>26.46</v>
      </c>
      <c r="O703" s="9"/>
      <c r="P703" s="9"/>
      <c r="Q703" s="10" t="s">
        <v>297</v>
      </c>
    </row>
    <row r="704" spans="1:17" s="11" customFormat="1" ht="40.5" customHeight="1" x14ac:dyDescent="0.3">
      <c r="A704" s="18" t="s">
        <v>1312</v>
      </c>
      <c r="B704" s="23" t="s">
        <v>4</v>
      </c>
      <c r="C704" s="8"/>
      <c r="D704" s="12" t="s">
        <v>2318</v>
      </c>
      <c r="E704" s="12" t="s">
        <v>197</v>
      </c>
      <c r="F704" s="18" t="s">
        <v>1779</v>
      </c>
      <c r="G704" s="8">
        <f>28-1</f>
        <v>27</v>
      </c>
      <c r="H704" s="8"/>
      <c r="I704" s="8">
        <f>9+1+1+1+1</f>
        <v>13</v>
      </c>
      <c r="J704" s="8"/>
      <c r="K704" s="8">
        <f t="shared" si="64"/>
        <v>14</v>
      </c>
      <c r="L704" s="8"/>
      <c r="M704" s="9">
        <v>321.92</v>
      </c>
      <c r="N704" s="9">
        <f t="shared" si="63"/>
        <v>4506.88</v>
      </c>
      <c r="O704" s="9"/>
      <c r="P704" s="9"/>
      <c r="Q704" s="10" t="s">
        <v>159</v>
      </c>
    </row>
    <row r="705" spans="1:17" s="11" customFormat="1" ht="41.25" customHeight="1" x14ac:dyDescent="0.3">
      <c r="A705" s="18" t="s">
        <v>1313</v>
      </c>
      <c r="B705" s="23" t="s">
        <v>4</v>
      </c>
      <c r="C705" s="8"/>
      <c r="D705" s="12" t="s">
        <v>2318</v>
      </c>
      <c r="E705" s="12" t="s">
        <v>186</v>
      </c>
      <c r="F705" s="18" t="s">
        <v>1779</v>
      </c>
      <c r="G705" s="8">
        <v>11</v>
      </c>
      <c r="H705" s="8"/>
      <c r="I705" s="8">
        <f>1+1+1+3+1+1</f>
        <v>8</v>
      </c>
      <c r="J705" s="8"/>
      <c r="K705" s="8">
        <f t="shared" si="64"/>
        <v>3</v>
      </c>
      <c r="L705" s="8"/>
      <c r="M705" s="9">
        <v>501.5</v>
      </c>
      <c r="N705" s="9">
        <f t="shared" si="63"/>
        <v>1504.5</v>
      </c>
      <c r="O705" s="9"/>
      <c r="P705" s="9"/>
      <c r="Q705" s="10" t="s">
        <v>159</v>
      </c>
    </row>
    <row r="706" spans="1:17" s="11" customFormat="1" ht="20.25" x14ac:dyDescent="0.3">
      <c r="A706" s="18" t="s">
        <v>1327</v>
      </c>
      <c r="B706" s="23">
        <v>45042</v>
      </c>
      <c r="C706" s="8"/>
      <c r="D706" s="12" t="s">
        <v>2440</v>
      </c>
      <c r="E706" s="12" t="s">
        <v>1583</v>
      </c>
      <c r="F706" s="18" t="s">
        <v>1779</v>
      </c>
      <c r="G706" s="8"/>
      <c r="H706" s="8">
        <v>10</v>
      </c>
      <c r="I706" s="8">
        <f>1+3</f>
        <v>4</v>
      </c>
      <c r="J706" s="8"/>
      <c r="K706" s="8">
        <f>+G706+H706-I706</f>
        <v>6</v>
      </c>
      <c r="L706" s="8"/>
      <c r="M706" s="9">
        <v>141.6</v>
      </c>
      <c r="N706" s="9">
        <f t="shared" si="63"/>
        <v>849.59999999999991</v>
      </c>
      <c r="O706" s="9"/>
      <c r="P706" s="9"/>
      <c r="Q706" s="10"/>
    </row>
    <row r="707" spans="1:17" s="11" customFormat="1" ht="40.5" x14ac:dyDescent="0.3">
      <c r="A707" s="18" t="s">
        <v>1328</v>
      </c>
      <c r="B707" s="23"/>
      <c r="C707" s="8"/>
      <c r="D707" s="12" t="s">
        <v>2440</v>
      </c>
      <c r="E707" s="12" t="s">
        <v>1661</v>
      </c>
      <c r="F707" s="18" t="s">
        <v>1779</v>
      </c>
      <c r="G707" s="8">
        <v>25</v>
      </c>
      <c r="H707" s="8"/>
      <c r="I707" s="8"/>
      <c r="J707" s="8">
        <v>0</v>
      </c>
      <c r="K707" s="8">
        <f>+G707+H707-I707+J707</f>
        <v>25</v>
      </c>
      <c r="L707" s="8"/>
      <c r="M707" s="9">
        <v>37</v>
      </c>
      <c r="N707" s="9">
        <f>+L707*M707</f>
        <v>0</v>
      </c>
      <c r="O707" s="9"/>
      <c r="P707" s="9"/>
      <c r="Q707" s="10" t="s">
        <v>1887</v>
      </c>
    </row>
    <row r="708" spans="1:17" s="11" customFormat="1" ht="40.5" x14ac:dyDescent="0.3">
      <c r="A708" s="18" t="s">
        <v>1329</v>
      </c>
      <c r="B708" s="23" t="s">
        <v>415</v>
      </c>
      <c r="C708" s="8"/>
      <c r="D708" s="12" t="s">
        <v>2440</v>
      </c>
      <c r="E708" s="12" t="s">
        <v>157</v>
      </c>
      <c r="F708" s="18" t="s">
        <v>1779</v>
      </c>
      <c r="G708" s="8">
        <v>5</v>
      </c>
      <c r="H708" s="8"/>
      <c r="I708" s="8"/>
      <c r="J708" s="8"/>
      <c r="K708" s="8">
        <f>+G708+H708+-I708</f>
        <v>5</v>
      </c>
      <c r="L708" s="8"/>
      <c r="M708" s="9">
        <v>23</v>
      </c>
      <c r="N708" s="9">
        <f>+K708*M708</f>
        <v>115</v>
      </c>
      <c r="O708" s="9"/>
      <c r="P708" s="9"/>
      <c r="Q708" s="10" t="s">
        <v>140</v>
      </c>
    </row>
    <row r="709" spans="1:17" s="11" customFormat="1" ht="40.5" x14ac:dyDescent="0.3">
      <c r="A709" s="18" t="s">
        <v>1330</v>
      </c>
      <c r="B709" s="23" t="s">
        <v>4</v>
      </c>
      <c r="C709" s="8"/>
      <c r="D709" s="12" t="s">
        <v>2440</v>
      </c>
      <c r="E709" s="12" t="s">
        <v>156</v>
      </c>
      <c r="F709" s="18" t="s">
        <v>1779</v>
      </c>
      <c r="G709" s="8">
        <f>45-1</f>
        <v>44</v>
      </c>
      <c r="H709" s="8"/>
      <c r="I709" s="8">
        <f>2+1+1+2+1+2+1+1+1+1+1</f>
        <v>14</v>
      </c>
      <c r="J709" s="8"/>
      <c r="K709" s="8">
        <f>+G709+H709+-I709</f>
        <v>30</v>
      </c>
      <c r="L709" s="8"/>
      <c r="M709" s="9">
        <v>150</v>
      </c>
      <c r="N709" s="9">
        <f>+K709*M709</f>
        <v>4500</v>
      </c>
      <c r="O709" s="9"/>
      <c r="P709" s="9"/>
      <c r="Q709" s="10" t="s">
        <v>140</v>
      </c>
    </row>
    <row r="710" spans="1:17" s="11" customFormat="1" ht="20.25" x14ac:dyDescent="0.3">
      <c r="A710" s="18" t="s">
        <v>1331</v>
      </c>
      <c r="B710" s="23">
        <v>45469</v>
      </c>
      <c r="C710" s="8"/>
      <c r="D710" s="12" t="s">
        <v>2322</v>
      </c>
      <c r="E710" s="12" t="s">
        <v>135</v>
      </c>
      <c r="F710" s="18" t="s">
        <v>1779</v>
      </c>
      <c r="G710" s="8">
        <v>18</v>
      </c>
      <c r="H710" s="8"/>
      <c r="I710" s="8">
        <v>3</v>
      </c>
      <c r="J710" s="8"/>
      <c r="K710" s="8">
        <f>+G710+H710-I710</f>
        <v>15</v>
      </c>
      <c r="L710" s="8">
        <v>15</v>
      </c>
      <c r="M710" s="9">
        <v>728.81</v>
      </c>
      <c r="N710" s="9">
        <f>+K710*M710</f>
        <v>10932.15</v>
      </c>
      <c r="O710" s="9"/>
      <c r="P710" s="9"/>
      <c r="Q710" s="10" t="s">
        <v>1191</v>
      </c>
    </row>
    <row r="711" spans="1:17" s="11" customFormat="1" ht="20.25" x14ac:dyDescent="0.3">
      <c r="A711" s="18" t="s">
        <v>1332</v>
      </c>
      <c r="B711" s="23">
        <v>45799</v>
      </c>
      <c r="C711" s="8">
        <v>10</v>
      </c>
      <c r="D711" s="12" t="s">
        <v>2328</v>
      </c>
      <c r="E711" s="12" t="s">
        <v>1853</v>
      </c>
      <c r="F711" s="18" t="s">
        <v>1779</v>
      </c>
      <c r="G711" s="8"/>
      <c r="H711" s="8">
        <v>36</v>
      </c>
      <c r="I711" s="8">
        <v>2</v>
      </c>
      <c r="J711" s="8"/>
      <c r="K711" s="8">
        <f>+G711+H711+-I711</f>
        <v>34</v>
      </c>
      <c r="L711" s="8">
        <v>35</v>
      </c>
      <c r="M711" s="9">
        <v>302</v>
      </c>
      <c r="N711" s="9">
        <f>+K711*M711</f>
        <v>10268</v>
      </c>
      <c r="O711" s="9"/>
      <c r="P711" s="9"/>
      <c r="Q711" s="10" t="s">
        <v>1191</v>
      </c>
    </row>
    <row r="712" spans="1:17" s="11" customFormat="1" ht="20.25" customHeight="1" x14ac:dyDescent="0.3">
      <c r="A712" s="18" t="s">
        <v>1333</v>
      </c>
      <c r="B712" s="23">
        <v>45791</v>
      </c>
      <c r="C712" s="8"/>
      <c r="D712" s="12"/>
      <c r="E712" s="12" t="s">
        <v>1787</v>
      </c>
      <c r="F712" s="18" t="s">
        <v>1779</v>
      </c>
      <c r="G712" s="8"/>
      <c r="H712" s="8">
        <v>1</v>
      </c>
      <c r="I712" s="8"/>
      <c r="J712" s="8"/>
      <c r="K712" s="8"/>
      <c r="L712" s="8"/>
      <c r="M712" s="9"/>
      <c r="N712" s="9"/>
      <c r="O712" s="9"/>
      <c r="P712" s="9"/>
      <c r="Q712" s="10"/>
    </row>
    <row r="713" spans="1:17" s="11" customFormat="1" ht="23.25" customHeight="1" x14ac:dyDescent="0.3">
      <c r="A713" s="18" t="s">
        <v>1334</v>
      </c>
      <c r="B713" s="23">
        <v>45786</v>
      </c>
      <c r="C713" s="8"/>
      <c r="D713" s="12"/>
      <c r="E713" s="12" t="s">
        <v>2101</v>
      </c>
      <c r="F713" s="18" t="s">
        <v>1779</v>
      </c>
      <c r="G713" s="8"/>
      <c r="H713" s="8">
        <v>2</v>
      </c>
      <c r="I713" s="8">
        <v>2</v>
      </c>
      <c r="J713" s="8"/>
      <c r="K713" s="8">
        <f t="shared" ref="K713:K718" si="65">+G713+H713-I713+J713</f>
        <v>0</v>
      </c>
      <c r="L713" s="8"/>
      <c r="M713" s="9">
        <v>450</v>
      </c>
      <c r="N713" s="9">
        <f t="shared" ref="N713:N744" si="66">+K713*M713</f>
        <v>0</v>
      </c>
      <c r="O713" s="9"/>
      <c r="P713" s="9"/>
      <c r="Q713" s="10" t="s">
        <v>1321</v>
      </c>
    </row>
    <row r="714" spans="1:17" s="11" customFormat="1" ht="40.5" customHeight="1" x14ac:dyDescent="0.3">
      <c r="A714" s="18" t="s">
        <v>1335</v>
      </c>
      <c r="B714" s="23">
        <v>45761</v>
      </c>
      <c r="C714" s="8">
        <v>10</v>
      </c>
      <c r="D714" s="12" t="s">
        <v>2476</v>
      </c>
      <c r="E714" s="12" t="s">
        <v>2113</v>
      </c>
      <c r="F714" s="18" t="s">
        <v>1783</v>
      </c>
      <c r="G714" s="8"/>
      <c r="H714" s="8">
        <v>2</v>
      </c>
      <c r="I714" s="8">
        <v>2</v>
      </c>
      <c r="J714" s="8"/>
      <c r="K714" s="8">
        <f t="shared" si="65"/>
        <v>0</v>
      </c>
      <c r="L714" s="8"/>
      <c r="M714" s="9">
        <v>340</v>
      </c>
      <c r="N714" s="9">
        <f t="shared" si="66"/>
        <v>0</v>
      </c>
      <c r="O714" s="9"/>
      <c r="P714" s="9"/>
      <c r="Q714" s="10" t="s">
        <v>1479</v>
      </c>
    </row>
    <row r="715" spans="1:17" s="11" customFormat="1" ht="23.25" customHeight="1" x14ac:dyDescent="0.3">
      <c r="A715" s="18" t="s">
        <v>1338</v>
      </c>
      <c r="B715" s="23">
        <v>45761</v>
      </c>
      <c r="C715" s="8">
        <v>10</v>
      </c>
      <c r="D715" s="12" t="s">
        <v>2476</v>
      </c>
      <c r="E715" s="12" t="s">
        <v>1341</v>
      </c>
      <c r="F715" s="18" t="s">
        <v>1779</v>
      </c>
      <c r="G715" s="8"/>
      <c r="H715" s="8">
        <v>25</v>
      </c>
      <c r="I715" s="8">
        <v>25</v>
      </c>
      <c r="J715" s="8"/>
      <c r="K715" s="8">
        <f t="shared" si="65"/>
        <v>0</v>
      </c>
      <c r="L715" s="8"/>
      <c r="M715" s="9">
        <v>326.33</v>
      </c>
      <c r="N715" s="9">
        <f t="shared" si="66"/>
        <v>0</v>
      </c>
      <c r="O715" s="9"/>
      <c r="P715" s="9"/>
      <c r="Q715" s="10" t="s">
        <v>1342</v>
      </c>
    </row>
    <row r="716" spans="1:17" s="11" customFormat="1" ht="40.5" x14ac:dyDescent="0.3">
      <c r="A716" s="18" t="s">
        <v>1339</v>
      </c>
      <c r="B716" s="23">
        <v>45804</v>
      </c>
      <c r="C716" s="8"/>
      <c r="D716" s="12" t="s">
        <v>2321</v>
      </c>
      <c r="E716" s="12" t="s">
        <v>2042</v>
      </c>
      <c r="F716" s="18" t="s">
        <v>1779</v>
      </c>
      <c r="G716" s="8"/>
      <c r="H716" s="8">
        <v>24</v>
      </c>
      <c r="I716" s="8">
        <v>1</v>
      </c>
      <c r="J716" s="8"/>
      <c r="K716" s="8">
        <f t="shared" si="65"/>
        <v>23</v>
      </c>
      <c r="L716" s="8"/>
      <c r="M716" s="9">
        <v>1083</v>
      </c>
      <c r="N716" s="9">
        <f t="shared" si="66"/>
        <v>24909</v>
      </c>
      <c r="O716" s="9"/>
      <c r="P716" s="9"/>
      <c r="Q716" s="10" t="s">
        <v>433</v>
      </c>
    </row>
    <row r="717" spans="1:17" s="11" customFormat="1" ht="40.5" x14ac:dyDescent="0.3">
      <c r="A717" s="18" t="s">
        <v>1344</v>
      </c>
      <c r="B717" s="23">
        <v>45804</v>
      </c>
      <c r="C717" s="8"/>
      <c r="D717" s="12" t="s">
        <v>2321</v>
      </c>
      <c r="E717" s="12" t="s">
        <v>2043</v>
      </c>
      <c r="F717" s="18" t="s">
        <v>1779</v>
      </c>
      <c r="G717" s="8"/>
      <c r="H717" s="8">
        <v>24</v>
      </c>
      <c r="I717" s="8"/>
      <c r="J717" s="8"/>
      <c r="K717" s="8">
        <f t="shared" si="65"/>
        <v>24</v>
      </c>
      <c r="L717" s="8"/>
      <c r="M717" s="9">
        <v>1430</v>
      </c>
      <c r="N717" s="9">
        <f t="shared" si="66"/>
        <v>34320</v>
      </c>
      <c r="O717" s="9"/>
      <c r="P717" s="9"/>
      <c r="Q717" s="10" t="s">
        <v>433</v>
      </c>
    </row>
    <row r="718" spans="1:17" s="11" customFormat="1" ht="39.950000000000003" customHeight="1" x14ac:dyDescent="0.3">
      <c r="A718" s="18" t="s">
        <v>1345</v>
      </c>
      <c r="B718" s="23">
        <v>45804</v>
      </c>
      <c r="C718" s="8"/>
      <c r="D718" s="12" t="s">
        <v>2321</v>
      </c>
      <c r="E718" s="12" t="s">
        <v>2044</v>
      </c>
      <c r="F718" s="18" t="s">
        <v>1779</v>
      </c>
      <c r="G718" s="8"/>
      <c r="H718" s="8">
        <v>30</v>
      </c>
      <c r="I718" s="8"/>
      <c r="J718" s="8"/>
      <c r="K718" s="8">
        <f t="shared" si="65"/>
        <v>30</v>
      </c>
      <c r="L718" s="8"/>
      <c r="M718" s="9">
        <v>979</v>
      </c>
      <c r="N718" s="9">
        <f t="shared" si="66"/>
        <v>29370</v>
      </c>
      <c r="O718" s="9"/>
      <c r="P718" s="9"/>
      <c r="Q718" s="10" t="s">
        <v>433</v>
      </c>
    </row>
    <row r="719" spans="1:17" s="11" customFormat="1" ht="20.25" x14ac:dyDescent="0.3">
      <c r="A719" s="18" t="s">
        <v>1346</v>
      </c>
      <c r="B719" s="23" t="s">
        <v>257</v>
      </c>
      <c r="C719" s="8"/>
      <c r="D719" s="12" t="s">
        <v>2321</v>
      </c>
      <c r="E719" s="12" t="s">
        <v>464</v>
      </c>
      <c r="F719" s="18" t="s">
        <v>1779</v>
      </c>
      <c r="G719" s="8">
        <f>3-1</f>
        <v>2</v>
      </c>
      <c r="H719" s="8"/>
      <c r="I719" s="8"/>
      <c r="J719" s="8"/>
      <c r="K719" s="8">
        <f>+G719+H719+-I719</f>
        <v>2</v>
      </c>
      <c r="L719" s="8">
        <v>2</v>
      </c>
      <c r="M719" s="9">
        <v>1357</v>
      </c>
      <c r="N719" s="9">
        <f t="shared" si="66"/>
        <v>2714</v>
      </c>
      <c r="O719" s="9"/>
      <c r="P719" s="9"/>
      <c r="Q719" s="10" t="s">
        <v>433</v>
      </c>
    </row>
    <row r="720" spans="1:17" s="11" customFormat="1" ht="40.5" x14ac:dyDescent="0.3">
      <c r="A720" s="18" t="s">
        <v>1347</v>
      </c>
      <c r="B720" s="23"/>
      <c r="C720" s="8"/>
      <c r="D720" s="12" t="s">
        <v>2438</v>
      </c>
      <c r="E720" s="12" t="s">
        <v>1522</v>
      </c>
      <c r="F720" s="18" t="s">
        <v>1779</v>
      </c>
      <c r="G720" s="8">
        <f>122-1-2-36-1-1-3</f>
        <v>78</v>
      </c>
      <c r="H720" s="8">
        <v>450</v>
      </c>
      <c r="I720" s="8">
        <f>2+33+4+2+37+3+36+3+36+2+1+36+72+80+3+1+2+1+2+1+36+2+36+3</f>
        <v>434</v>
      </c>
      <c r="J720" s="8"/>
      <c r="K720" s="8">
        <f>+G720+H720+-I720</f>
        <v>94</v>
      </c>
      <c r="L720" s="8"/>
      <c r="M720" s="9">
        <v>40.119999999999997</v>
      </c>
      <c r="N720" s="9">
        <f t="shared" si="66"/>
        <v>3771.2799999999997</v>
      </c>
      <c r="O720" s="9"/>
      <c r="P720" s="9"/>
      <c r="Q720" s="10" t="s">
        <v>235</v>
      </c>
    </row>
    <row r="721" spans="1:17" s="11" customFormat="1" ht="40.5" x14ac:dyDescent="0.3">
      <c r="A721" s="18" t="s">
        <v>1348</v>
      </c>
      <c r="B721" s="23">
        <v>45799</v>
      </c>
      <c r="C721" s="8">
        <v>10</v>
      </c>
      <c r="D721" s="12" t="s">
        <v>2318</v>
      </c>
      <c r="E721" s="12" t="s">
        <v>1854</v>
      </c>
      <c r="F721" s="18" t="s">
        <v>1779</v>
      </c>
      <c r="G721" s="8"/>
      <c r="H721" s="8">
        <v>48</v>
      </c>
      <c r="I721" s="8"/>
      <c r="J721" s="8"/>
      <c r="K721" s="8">
        <f>+G721+H721+-I721</f>
        <v>48</v>
      </c>
      <c r="L721" s="8">
        <v>48</v>
      </c>
      <c r="M721" s="9">
        <v>68</v>
      </c>
      <c r="N721" s="9">
        <f t="shared" si="66"/>
        <v>3264</v>
      </c>
      <c r="O721" s="9"/>
      <c r="P721" s="9"/>
      <c r="Q721" s="10" t="s">
        <v>1191</v>
      </c>
    </row>
    <row r="722" spans="1:17" s="11" customFormat="1" ht="20.25" x14ac:dyDescent="0.3">
      <c r="A722" s="18" t="s">
        <v>1349</v>
      </c>
      <c r="B722" s="23"/>
      <c r="C722" s="8"/>
      <c r="D722" s="53" t="s">
        <v>2394</v>
      </c>
      <c r="E722" s="12" t="s">
        <v>2155</v>
      </c>
      <c r="F722" s="18" t="s">
        <v>1779</v>
      </c>
      <c r="G722" s="8"/>
      <c r="H722" s="8">
        <v>5</v>
      </c>
      <c r="I722" s="8">
        <v>1</v>
      </c>
      <c r="J722" s="8"/>
      <c r="K722" s="8">
        <f>+G722+H722-I722+J722</f>
        <v>4</v>
      </c>
      <c r="L722" s="8"/>
      <c r="M722" s="9">
        <v>11422</v>
      </c>
      <c r="N722" s="9">
        <f t="shared" si="66"/>
        <v>45688</v>
      </c>
      <c r="O722" s="9"/>
      <c r="P722" s="9"/>
      <c r="Q722" s="10" t="s">
        <v>25</v>
      </c>
    </row>
    <row r="723" spans="1:17" s="11" customFormat="1" ht="20.25" x14ac:dyDescent="0.3">
      <c r="A723" s="18" t="s">
        <v>1350</v>
      </c>
      <c r="B723" s="23"/>
      <c r="C723" s="8"/>
      <c r="D723" s="53" t="s">
        <v>2394</v>
      </c>
      <c r="E723" s="12" t="s">
        <v>86</v>
      </c>
      <c r="F723" s="18" t="s">
        <v>1779</v>
      </c>
      <c r="G723" s="8">
        <v>3</v>
      </c>
      <c r="H723" s="8"/>
      <c r="I723" s="8">
        <f>1+1</f>
        <v>2</v>
      </c>
      <c r="J723" s="8"/>
      <c r="K723" s="8">
        <f>+G723+H723-I723</f>
        <v>1</v>
      </c>
      <c r="L723" s="8"/>
      <c r="M723" s="9">
        <v>93</v>
      </c>
      <c r="N723" s="9">
        <f t="shared" si="66"/>
        <v>93</v>
      </c>
      <c r="O723" s="9"/>
      <c r="P723" s="9"/>
      <c r="Q723" s="10" t="s">
        <v>25</v>
      </c>
    </row>
    <row r="724" spans="1:17" s="11" customFormat="1" ht="20.25" x14ac:dyDescent="0.3">
      <c r="A724" s="18" t="s">
        <v>1351</v>
      </c>
      <c r="B724" s="23"/>
      <c r="C724" s="8"/>
      <c r="D724" s="53" t="s">
        <v>2394</v>
      </c>
      <c r="E724" s="12" t="s">
        <v>87</v>
      </c>
      <c r="F724" s="18" t="s">
        <v>1779</v>
      </c>
      <c r="G724" s="8">
        <v>2</v>
      </c>
      <c r="H724" s="8"/>
      <c r="I724" s="8"/>
      <c r="J724" s="8"/>
      <c r="K724" s="8">
        <f>+G724+H724-I724</f>
        <v>2</v>
      </c>
      <c r="L724" s="8"/>
      <c r="M724" s="9">
        <v>4500</v>
      </c>
      <c r="N724" s="9">
        <f t="shared" si="66"/>
        <v>9000</v>
      </c>
      <c r="O724" s="9"/>
      <c r="P724" s="9"/>
      <c r="Q724" s="10" t="s">
        <v>25</v>
      </c>
    </row>
    <row r="725" spans="1:17" s="11" customFormat="1" ht="20.25" x14ac:dyDescent="0.3">
      <c r="A725" s="18" t="s">
        <v>1352</v>
      </c>
      <c r="B725" s="23" t="s">
        <v>257</v>
      </c>
      <c r="C725" s="8"/>
      <c r="D725" s="12" t="s">
        <v>2321</v>
      </c>
      <c r="E725" s="12" t="s">
        <v>465</v>
      </c>
      <c r="F725" s="18" t="s">
        <v>1779</v>
      </c>
      <c r="G725" s="8">
        <v>5</v>
      </c>
      <c r="H725" s="8"/>
      <c r="I725" s="8"/>
      <c r="J725" s="8"/>
      <c r="K725" s="8">
        <f>+G725+H725+-I725</f>
        <v>5</v>
      </c>
      <c r="L725" s="8"/>
      <c r="M725" s="9">
        <v>165</v>
      </c>
      <c r="N725" s="9">
        <f t="shared" si="66"/>
        <v>825</v>
      </c>
      <c r="O725" s="9"/>
      <c r="P725" s="9"/>
      <c r="Q725" s="10" t="s">
        <v>433</v>
      </c>
    </row>
    <row r="726" spans="1:17" s="11" customFormat="1" ht="40.5" x14ac:dyDescent="0.3">
      <c r="A726" s="18" t="s">
        <v>1353</v>
      </c>
      <c r="B726" s="23"/>
      <c r="C726" s="8"/>
      <c r="D726" s="12"/>
      <c r="E726" s="12" t="s">
        <v>187</v>
      </c>
      <c r="F726" s="18" t="s">
        <v>1779</v>
      </c>
      <c r="G726" s="8">
        <v>2</v>
      </c>
      <c r="H726" s="8"/>
      <c r="I726" s="8"/>
      <c r="J726" s="8"/>
      <c r="K726" s="8">
        <f>+G726+H726+-I726</f>
        <v>2</v>
      </c>
      <c r="L726" s="8"/>
      <c r="M726" s="9"/>
      <c r="N726" s="9">
        <f t="shared" si="66"/>
        <v>0</v>
      </c>
      <c r="O726" s="9"/>
      <c r="P726" s="9"/>
      <c r="Q726" s="10" t="s">
        <v>159</v>
      </c>
    </row>
    <row r="727" spans="1:17" s="11" customFormat="1" ht="40.5" x14ac:dyDescent="0.3">
      <c r="A727" s="18" t="s">
        <v>1354</v>
      </c>
      <c r="B727" s="23">
        <v>45042</v>
      </c>
      <c r="C727" s="8"/>
      <c r="D727" s="12" t="s">
        <v>2438</v>
      </c>
      <c r="E727" s="12" t="s">
        <v>271</v>
      </c>
      <c r="F727" s="18" t="s">
        <v>1779</v>
      </c>
      <c r="G727" s="8">
        <f>17+1</f>
        <v>18</v>
      </c>
      <c r="H727" s="8"/>
      <c r="I727" s="8"/>
      <c r="J727" s="8"/>
      <c r="K727" s="8">
        <f>+G727+H727+-I727</f>
        <v>18</v>
      </c>
      <c r="L727" s="8"/>
      <c r="M727" s="9">
        <v>1235</v>
      </c>
      <c r="N727" s="9">
        <f t="shared" si="66"/>
        <v>22230</v>
      </c>
      <c r="O727" s="9"/>
      <c r="P727" s="9"/>
      <c r="Q727" s="10" t="s">
        <v>235</v>
      </c>
    </row>
    <row r="728" spans="1:17" s="11" customFormat="1" ht="20.25" x14ac:dyDescent="0.3">
      <c r="A728" s="18" t="s">
        <v>1355</v>
      </c>
      <c r="B728" s="23"/>
      <c r="C728" s="8"/>
      <c r="D728" s="12"/>
      <c r="E728" s="12" t="s">
        <v>121</v>
      </c>
      <c r="F728" s="18" t="s">
        <v>1779</v>
      </c>
      <c r="G728" s="8">
        <v>1</v>
      </c>
      <c r="H728" s="8"/>
      <c r="I728" s="8"/>
      <c r="J728" s="8"/>
      <c r="K728" s="8">
        <f>+G728+H728-I728</f>
        <v>1</v>
      </c>
      <c r="L728" s="8"/>
      <c r="M728" s="9">
        <v>4980</v>
      </c>
      <c r="N728" s="9">
        <f t="shared" si="66"/>
        <v>4980</v>
      </c>
      <c r="O728" s="9"/>
      <c r="P728" s="9"/>
      <c r="Q728" s="10" t="s">
        <v>109</v>
      </c>
    </row>
    <row r="729" spans="1:17" s="11" customFormat="1" ht="20.25" x14ac:dyDescent="0.3">
      <c r="A729" s="18" t="s">
        <v>1356</v>
      </c>
      <c r="B729" s="23">
        <v>45803</v>
      </c>
      <c r="C729" s="8">
        <v>10</v>
      </c>
      <c r="D729" s="12" t="s">
        <v>2327</v>
      </c>
      <c r="E729" s="12" t="s">
        <v>2019</v>
      </c>
      <c r="F729" s="18" t="s">
        <v>1779</v>
      </c>
      <c r="G729" s="8"/>
      <c r="H729" s="8">
        <v>200</v>
      </c>
      <c r="I729" s="8"/>
      <c r="J729" s="8"/>
      <c r="K729" s="8">
        <f>+G729+H729-I729+J729</f>
        <v>200</v>
      </c>
      <c r="L729" s="8">
        <v>200</v>
      </c>
      <c r="M729" s="9">
        <v>71</v>
      </c>
      <c r="N729" s="9">
        <f t="shared" si="66"/>
        <v>14200</v>
      </c>
      <c r="O729" s="9"/>
      <c r="P729" s="9"/>
      <c r="Q729" s="10" t="s">
        <v>1191</v>
      </c>
    </row>
    <row r="730" spans="1:17" s="11" customFormat="1" ht="40.5" x14ac:dyDescent="0.3">
      <c r="A730" s="18" t="s">
        <v>1357</v>
      </c>
      <c r="B730" s="23" t="s">
        <v>425</v>
      </c>
      <c r="C730" s="8"/>
      <c r="D730" s="12" t="s">
        <v>2438</v>
      </c>
      <c r="E730" s="12" t="s">
        <v>242</v>
      </c>
      <c r="F730" s="18" t="s">
        <v>1779</v>
      </c>
      <c r="G730" s="8">
        <v>5</v>
      </c>
      <c r="H730" s="8"/>
      <c r="I730" s="8">
        <v>4</v>
      </c>
      <c r="J730" s="8"/>
      <c r="K730" s="8">
        <f>+G730+H730+-I730</f>
        <v>1</v>
      </c>
      <c r="L730" s="8"/>
      <c r="M730" s="9">
        <v>1132.8</v>
      </c>
      <c r="N730" s="9">
        <f t="shared" si="66"/>
        <v>1132.8</v>
      </c>
      <c r="O730" s="9"/>
      <c r="P730" s="9"/>
      <c r="Q730" s="10" t="s">
        <v>235</v>
      </c>
    </row>
    <row r="731" spans="1:17" s="11" customFormat="1" ht="20.25" x14ac:dyDescent="0.3">
      <c r="A731" s="18" t="s">
        <v>1358</v>
      </c>
      <c r="B731" s="23"/>
      <c r="C731" s="8">
        <v>10</v>
      </c>
      <c r="D731" s="12" t="s">
        <v>2327</v>
      </c>
      <c r="E731" s="12" t="s">
        <v>1232</v>
      </c>
      <c r="F731" s="18" t="s">
        <v>1779</v>
      </c>
      <c r="G731" s="8">
        <v>1</v>
      </c>
      <c r="H731" s="8"/>
      <c r="I731" s="8"/>
      <c r="J731" s="8"/>
      <c r="K731" s="8">
        <f>+G731+H731-I731</f>
        <v>1</v>
      </c>
      <c r="L731" s="8"/>
      <c r="M731" s="9">
        <v>165</v>
      </c>
      <c r="N731" s="9">
        <f t="shared" si="66"/>
        <v>165</v>
      </c>
      <c r="O731" s="9"/>
      <c r="P731" s="9"/>
      <c r="Q731" s="10" t="s">
        <v>109</v>
      </c>
    </row>
    <row r="732" spans="1:17" s="11" customFormat="1" ht="40.5" x14ac:dyDescent="0.3">
      <c r="A732" s="18" t="s">
        <v>1359</v>
      </c>
      <c r="B732" s="23"/>
      <c r="C732" s="8"/>
      <c r="D732" s="12" t="s">
        <v>2321</v>
      </c>
      <c r="E732" s="12" t="s">
        <v>502</v>
      </c>
      <c r="F732" s="18" t="s">
        <v>1779</v>
      </c>
      <c r="G732" s="8">
        <v>30</v>
      </c>
      <c r="H732" s="8"/>
      <c r="I732" s="8">
        <f>3+2+1</f>
        <v>6</v>
      </c>
      <c r="J732" s="8"/>
      <c r="K732" s="8">
        <f>+G732+H732+-I732</f>
        <v>24</v>
      </c>
      <c r="L732" s="8"/>
      <c r="M732" s="9">
        <v>200</v>
      </c>
      <c r="N732" s="9">
        <f t="shared" si="66"/>
        <v>4800</v>
      </c>
      <c r="O732" s="9"/>
      <c r="P732" s="9"/>
      <c r="Q732" s="10" t="s">
        <v>500</v>
      </c>
    </row>
    <row r="733" spans="1:17" s="11" customFormat="1" ht="20.25" x14ac:dyDescent="0.3">
      <c r="A733" s="18" t="s">
        <v>1360</v>
      </c>
      <c r="B733" s="23"/>
      <c r="C733" s="8"/>
      <c r="D733" s="12"/>
      <c r="E733" s="12" t="s">
        <v>1320</v>
      </c>
      <c r="F733" s="18" t="s">
        <v>1779</v>
      </c>
      <c r="G733" s="8"/>
      <c r="H733" s="8">
        <v>2</v>
      </c>
      <c r="I733" s="8"/>
      <c r="J733" s="8"/>
      <c r="K733" s="8">
        <f>+G733+H733-I733+J733</f>
        <v>2</v>
      </c>
      <c r="L733" s="8"/>
      <c r="M733" s="9">
        <v>3268.75</v>
      </c>
      <c r="N733" s="9">
        <f t="shared" si="66"/>
        <v>6537.5</v>
      </c>
      <c r="O733" s="9"/>
      <c r="P733" s="9"/>
      <c r="Q733" s="10" t="s">
        <v>431</v>
      </c>
    </row>
    <row r="734" spans="1:17" s="11" customFormat="1" ht="20.25" x14ac:dyDescent="0.3">
      <c r="A734" s="18" t="s">
        <v>1361</v>
      </c>
      <c r="B734" s="23">
        <v>45804</v>
      </c>
      <c r="C734" s="8"/>
      <c r="D734" s="12" t="s">
        <v>2321</v>
      </c>
      <c r="E734" s="12" t="s">
        <v>2045</v>
      </c>
      <c r="F734" s="18" t="s">
        <v>1779</v>
      </c>
      <c r="G734" s="8"/>
      <c r="H734" s="8">
        <v>15</v>
      </c>
      <c r="I734" s="8"/>
      <c r="J734" s="8"/>
      <c r="K734" s="8">
        <f>+G734+H734-I734+J734</f>
        <v>15</v>
      </c>
      <c r="L734" s="8"/>
      <c r="M734" s="9">
        <v>20</v>
      </c>
      <c r="N734" s="9">
        <f t="shared" si="66"/>
        <v>300</v>
      </c>
      <c r="O734" s="9"/>
      <c r="P734" s="9"/>
      <c r="Q734" s="10" t="s">
        <v>433</v>
      </c>
    </row>
    <row r="735" spans="1:17" s="11" customFormat="1" ht="20.25" x14ac:dyDescent="0.3">
      <c r="A735" s="18" t="s">
        <v>1362</v>
      </c>
      <c r="B735" s="23">
        <v>45804</v>
      </c>
      <c r="C735" s="8"/>
      <c r="D735" s="12" t="s">
        <v>2321</v>
      </c>
      <c r="E735" s="12" t="s">
        <v>2046</v>
      </c>
      <c r="F735" s="18" t="s">
        <v>1779</v>
      </c>
      <c r="G735" s="8"/>
      <c r="H735" s="8">
        <v>15</v>
      </c>
      <c r="I735" s="8"/>
      <c r="J735" s="8"/>
      <c r="K735" s="8">
        <f>+G735+H735-I735+J735</f>
        <v>15</v>
      </c>
      <c r="L735" s="8"/>
      <c r="M735" s="9">
        <v>26</v>
      </c>
      <c r="N735" s="9">
        <f t="shared" si="66"/>
        <v>390</v>
      </c>
      <c r="O735" s="9"/>
      <c r="P735" s="9"/>
      <c r="Q735" s="10" t="s">
        <v>433</v>
      </c>
    </row>
    <row r="736" spans="1:17" s="11" customFormat="1" ht="20.25" x14ac:dyDescent="0.3">
      <c r="A736" s="18" t="s">
        <v>1363</v>
      </c>
      <c r="B736" s="23"/>
      <c r="C736" s="8"/>
      <c r="D736" s="12" t="s">
        <v>2385</v>
      </c>
      <c r="E736" s="12" t="s">
        <v>366</v>
      </c>
      <c r="F736" s="18" t="s">
        <v>1779</v>
      </c>
      <c r="G736" s="8">
        <v>34</v>
      </c>
      <c r="H736" s="8"/>
      <c r="I736" s="8">
        <f>1+1</f>
        <v>2</v>
      </c>
      <c r="J736" s="8"/>
      <c r="K736" s="8">
        <f t="shared" ref="K736:K747" si="67">+G736+H736+-I736</f>
        <v>32</v>
      </c>
      <c r="L736" s="8"/>
      <c r="M736" s="9">
        <v>25.42</v>
      </c>
      <c r="N736" s="9">
        <f t="shared" si="66"/>
        <v>813.44</v>
      </c>
      <c r="O736" s="9"/>
      <c r="P736" s="9"/>
      <c r="Q736" s="10" t="s">
        <v>297</v>
      </c>
    </row>
    <row r="737" spans="1:17" s="11" customFormat="1" ht="40.5" x14ac:dyDescent="0.3">
      <c r="A737" s="18" t="s">
        <v>1364</v>
      </c>
      <c r="B737" s="23"/>
      <c r="C737" s="8"/>
      <c r="D737" s="12" t="s">
        <v>2385</v>
      </c>
      <c r="E737" s="12" t="s">
        <v>1975</v>
      </c>
      <c r="F737" s="18" t="s">
        <v>1779</v>
      </c>
      <c r="G737" s="8">
        <v>99</v>
      </c>
      <c r="H737" s="8"/>
      <c r="I737" s="8">
        <f>99-33+1+6+1+6+8</f>
        <v>88</v>
      </c>
      <c r="J737" s="8"/>
      <c r="K737" s="8">
        <f t="shared" si="67"/>
        <v>11</v>
      </c>
      <c r="L737" s="8"/>
      <c r="M737" s="9">
        <v>45</v>
      </c>
      <c r="N737" s="9">
        <f t="shared" si="66"/>
        <v>495</v>
      </c>
      <c r="O737" s="9"/>
      <c r="P737" s="9"/>
      <c r="Q737" s="10" t="s">
        <v>297</v>
      </c>
    </row>
    <row r="738" spans="1:17" s="11" customFormat="1" ht="20.25" x14ac:dyDescent="0.3">
      <c r="A738" s="18" t="s">
        <v>1365</v>
      </c>
      <c r="B738" s="23">
        <v>44876</v>
      </c>
      <c r="C738" s="8"/>
      <c r="D738" s="12" t="s">
        <v>2385</v>
      </c>
      <c r="E738" s="12" t="s">
        <v>367</v>
      </c>
      <c r="F738" s="18" t="s">
        <v>1779</v>
      </c>
      <c r="G738" s="8">
        <v>120</v>
      </c>
      <c r="H738" s="8"/>
      <c r="I738" s="8">
        <f>5+3+2+3+1+3+2+6+5+4+2+8</f>
        <v>44</v>
      </c>
      <c r="J738" s="8"/>
      <c r="K738" s="8">
        <f t="shared" si="67"/>
        <v>76</v>
      </c>
      <c r="L738" s="8"/>
      <c r="M738" s="9">
        <v>48</v>
      </c>
      <c r="N738" s="9">
        <f t="shared" si="66"/>
        <v>3648</v>
      </c>
      <c r="O738" s="9"/>
      <c r="P738" s="9"/>
      <c r="Q738" s="10" t="s">
        <v>297</v>
      </c>
    </row>
    <row r="739" spans="1:17" s="11" customFormat="1" ht="20.25" x14ac:dyDescent="0.3">
      <c r="A739" s="18" t="s">
        <v>1366</v>
      </c>
      <c r="B739" s="23">
        <v>44193</v>
      </c>
      <c r="C739" s="8"/>
      <c r="D739" s="12" t="s">
        <v>2385</v>
      </c>
      <c r="E739" s="12" t="s">
        <v>368</v>
      </c>
      <c r="F739" s="18" t="s">
        <v>1779</v>
      </c>
      <c r="G739" s="8">
        <f>55+42+7+1+9</f>
        <v>114</v>
      </c>
      <c r="H739" s="8"/>
      <c r="I739" s="8">
        <f>114-99</f>
        <v>15</v>
      </c>
      <c r="J739" s="8"/>
      <c r="K739" s="8">
        <f t="shared" si="67"/>
        <v>99</v>
      </c>
      <c r="L739" s="8"/>
      <c r="M739" s="9">
        <v>25.42</v>
      </c>
      <c r="N739" s="9">
        <f t="shared" si="66"/>
        <v>2516.5800000000004</v>
      </c>
      <c r="O739" s="9"/>
      <c r="P739" s="9"/>
      <c r="Q739" s="10" t="s">
        <v>297</v>
      </c>
    </row>
    <row r="740" spans="1:17" s="11" customFormat="1" ht="40.5" x14ac:dyDescent="0.3">
      <c r="A740" s="18" t="s">
        <v>1367</v>
      </c>
      <c r="B740" s="23" t="s">
        <v>434</v>
      </c>
      <c r="C740" s="8"/>
      <c r="D740" s="12" t="s">
        <v>2385</v>
      </c>
      <c r="E740" s="12" t="s">
        <v>369</v>
      </c>
      <c r="F740" s="18" t="s">
        <v>1779</v>
      </c>
      <c r="G740" s="8">
        <v>36</v>
      </c>
      <c r="H740" s="8"/>
      <c r="I740" s="8"/>
      <c r="J740" s="8"/>
      <c r="K740" s="8">
        <f t="shared" si="67"/>
        <v>36</v>
      </c>
      <c r="L740" s="8"/>
      <c r="M740" s="9">
        <v>25.42</v>
      </c>
      <c r="N740" s="9">
        <f t="shared" si="66"/>
        <v>915.12000000000012</v>
      </c>
      <c r="O740" s="9"/>
      <c r="P740" s="9"/>
      <c r="Q740" s="10" t="s">
        <v>297</v>
      </c>
    </row>
    <row r="741" spans="1:17" s="11" customFormat="1" ht="20.25" x14ac:dyDescent="0.3">
      <c r="A741" s="18" t="s">
        <v>1368</v>
      </c>
      <c r="B741" s="23" t="s">
        <v>434</v>
      </c>
      <c r="C741" s="8"/>
      <c r="D741" s="12" t="s">
        <v>2385</v>
      </c>
      <c r="E741" s="12" t="s">
        <v>370</v>
      </c>
      <c r="F741" s="18" t="s">
        <v>1779</v>
      </c>
      <c r="G741" s="8">
        <v>2</v>
      </c>
      <c r="H741" s="8"/>
      <c r="I741" s="8">
        <v>2</v>
      </c>
      <c r="J741" s="8"/>
      <c r="K741" s="8">
        <f t="shared" si="67"/>
        <v>0</v>
      </c>
      <c r="L741" s="8"/>
      <c r="M741" s="9">
        <v>48</v>
      </c>
      <c r="N741" s="9">
        <f t="shared" si="66"/>
        <v>0</v>
      </c>
      <c r="O741" s="9"/>
      <c r="P741" s="9"/>
      <c r="Q741" s="10" t="s">
        <v>297</v>
      </c>
    </row>
    <row r="742" spans="1:17" s="11" customFormat="1" ht="40.5" x14ac:dyDescent="0.3">
      <c r="A742" s="18" t="s">
        <v>1393</v>
      </c>
      <c r="B742" s="23">
        <v>44193</v>
      </c>
      <c r="C742" s="8"/>
      <c r="D742" s="12" t="s">
        <v>2385</v>
      </c>
      <c r="E742" s="12" t="s">
        <v>371</v>
      </c>
      <c r="F742" s="18" t="s">
        <v>1779</v>
      </c>
      <c r="G742" s="8">
        <v>24</v>
      </c>
      <c r="H742" s="8"/>
      <c r="I742" s="8">
        <v>1</v>
      </c>
      <c r="J742" s="8"/>
      <c r="K742" s="8">
        <f t="shared" si="67"/>
        <v>23</v>
      </c>
      <c r="L742" s="8"/>
      <c r="M742" s="9">
        <v>25.42</v>
      </c>
      <c r="N742" s="9">
        <f t="shared" si="66"/>
        <v>584.66000000000008</v>
      </c>
      <c r="O742" s="9"/>
      <c r="P742" s="9"/>
      <c r="Q742" s="10" t="s">
        <v>297</v>
      </c>
    </row>
    <row r="743" spans="1:17" s="11" customFormat="1" ht="40.5" x14ac:dyDescent="0.3">
      <c r="A743" s="18" t="s">
        <v>1394</v>
      </c>
      <c r="B743" s="23" t="s">
        <v>434</v>
      </c>
      <c r="C743" s="8"/>
      <c r="D743" s="12" t="s">
        <v>2385</v>
      </c>
      <c r="E743" s="12" t="s">
        <v>372</v>
      </c>
      <c r="F743" s="18" t="s">
        <v>1779</v>
      </c>
      <c r="G743" s="8">
        <v>24</v>
      </c>
      <c r="H743" s="8"/>
      <c r="I743" s="8">
        <f>12+1</f>
        <v>13</v>
      </c>
      <c r="J743" s="8"/>
      <c r="K743" s="8">
        <f t="shared" si="67"/>
        <v>11</v>
      </c>
      <c r="L743" s="8"/>
      <c r="M743" s="9">
        <v>25.42</v>
      </c>
      <c r="N743" s="9">
        <f t="shared" si="66"/>
        <v>279.62</v>
      </c>
      <c r="O743" s="9"/>
      <c r="P743" s="9"/>
      <c r="Q743" s="10" t="s">
        <v>297</v>
      </c>
    </row>
    <row r="744" spans="1:17" s="11" customFormat="1" ht="40.5" x14ac:dyDescent="0.3">
      <c r="A744" s="18" t="s">
        <v>1395</v>
      </c>
      <c r="B744" s="23">
        <v>44193</v>
      </c>
      <c r="C744" s="8"/>
      <c r="D744" s="12" t="s">
        <v>2385</v>
      </c>
      <c r="E744" s="12" t="s">
        <v>373</v>
      </c>
      <c r="F744" s="18" t="s">
        <v>1779</v>
      </c>
      <c r="G744" s="8">
        <v>24</v>
      </c>
      <c r="H744" s="8"/>
      <c r="I744" s="8"/>
      <c r="J744" s="8"/>
      <c r="K744" s="8">
        <f t="shared" si="67"/>
        <v>24</v>
      </c>
      <c r="L744" s="8"/>
      <c r="M744" s="9">
        <v>25.42</v>
      </c>
      <c r="N744" s="9">
        <f t="shared" si="66"/>
        <v>610.08000000000004</v>
      </c>
      <c r="O744" s="9"/>
      <c r="P744" s="9"/>
      <c r="Q744" s="10" t="s">
        <v>297</v>
      </c>
    </row>
    <row r="745" spans="1:17" s="11" customFormat="1" ht="40.5" x14ac:dyDescent="0.3">
      <c r="A745" s="18" t="s">
        <v>1396</v>
      </c>
      <c r="B745" s="23">
        <v>44193</v>
      </c>
      <c r="C745" s="8"/>
      <c r="D745" s="12" t="s">
        <v>2385</v>
      </c>
      <c r="E745" s="12" t="s">
        <v>374</v>
      </c>
      <c r="F745" s="18" t="s">
        <v>1779</v>
      </c>
      <c r="G745" s="8">
        <v>16</v>
      </c>
      <c r="H745" s="8"/>
      <c r="I745" s="8">
        <f>2+6+1+1+1+1</f>
        <v>12</v>
      </c>
      <c r="J745" s="8"/>
      <c r="K745" s="8">
        <f t="shared" si="67"/>
        <v>4</v>
      </c>
      <c r="L745" s="8"/>
      <c r="M745" s="9">
        <v>25.42</v>
      </c>
      <c r="N745" s="9">
        <f t="shared" ref="N745:N763" si="68">+K745*M745</f>
        <v>101.68</v>
      </c>
      <c r="O745" s="9"/>
      <c r="P745" s="9"/>
      <c r="Q745" s="10" t="s">
        <v>297</v>
      </c>
    </row>
    <row r="746" spans="1:17" s="11" customFormat="1" ht="40.5" x14ac:dyDescent="0.3">
      <c r="A746" s="18" t="s">
        <v>1397</v>
      </c>
      <c r="B746" s="23">
        <v>44193</v>
      </c>
      <c r="C746" s="8"/>
      <c r="D746" s="12" t="s">
        <v>2385</v>
      </c>
      <c r="E746" s="12" t="s">
        <v>375</v>
      </c>
      <c r="F746" s="18" t="s">
        <v>1779</v>
      </c>
      <c r="G746" s="8">
        <v>20</v>
      </c>
      <c r="H746" s="8"/>
      <c r="I746" s="8">
        <f>2+6+1+1</f>
        <v>10</v>
      </c>
      <c r="J746" s="8"/>
      <c r="K746" s="8">
        <f t="shared" si="67"/>
        <v>10</v>
      </c>
      <c r="L746" s="8"/>
      <c r="M746" s="9">
        <v>25.42</v>
      </c>
      <c r="N746" s="9">
        <f t="shared" si="68"/>
        <v>254.20000000000002</v>
      </c>
      <c r="O746" s="9"/>
      <c r="P746" s="9"/>
      <c r="Q746" s="10" t="s">
        <v>297</v>
      </c>
    </row>
    <row r="747" spans="1:17" s="11" customFormat="1" ht="40.5" x14ac:dyDescent="0.3">
      <c r="A747" s="18" t="s">
        <v>1402</v>
      </c>
      <c r="B747" s="23">
        <v>44193</v>
      </c>
      <c r="C747" s="8"/>
      <c r="D747" s="12" t="s">
        <v>2385</v>
      </c>
      <c r="E747" s="12" t="s">
        <v>376</v>
      </c>
      <c r="F747" s="18" t="s">
        <v>1779</v>
      </c>
      <c r="G747" s="8">
        <v>48</v>
      </c>
      <c r="H747" s="8"/>
      <c r="I747" s="8">
        <v>8</v>
      </c>
      <c r="J747" s="8"/>
      <c r="K747" s="8">
        <f t="shared" si="67"/>
        <v>40</v>
      </c>
      <c r="L747" s="8"/>
      <c r="M747" s="9">
        <v>63</v>
      </c>
      <c r="N747" s="9">
        <f t="shared" si="68"/>
        <v>2520</v>
      </c>
      <c r="O747" s="9"/>
      <c r="P747" s="9"/>
      <c r="Q747" s="10" t="s">
        <v>297</v>
      </c>
    </row>
    <row r="748" spans="1:17" s="11" customFormat="1" ht="20.25" x14ac:dyDescent="0.3">
      <c r="A748" s="18" t="s">
        <v>1403</v>
      </c>
      <c r="B748" s="23">
        <v>45469</v>
      </c>
      <c r="C748" s="8"/>
      <c r="D748" s="12" t="s">
        <v>2320</v>
      </c>
      <c r="E748" s="12" t="s">
        <v>1543</v>
      </c>
      <c r="F748" s="18" t="s">
        <v>1779</v>
      </c>
      <c r="G748" s="8"/>
      <c r="H748" s="8">
        <v>1</v>
      </c>
      <c r="I748" s="8"/>
      <c r="J748" s="8"/>
      <c r="K748" s="8">
        <f>+G748+H748-I748+J748</f>
        <v>1</v>
      </c>
      <c r="L748" s="8"/>
      <c r="M748" s="9">
        <v>1559.9954</v>
      </c>
      <c r="N748" s="9">
        <f t="shared" si="68"/>
        <v>1559.9954</v>
      </c>
      <c r="O748" s="9"/>
      <c r="P748" s="9"/>
      <c r="Q748" s="10" t="s">
        <v>520</v>
      </c>
    </row>
    <row r="749" spans="1:17" s="11" customFormat="1" ht="20.25" x14ac:dyDescent="0.3">
      <c r="A749" s="18" t="s">
        <v>1404</v>
      </c>
      <c r="B749" s="23">
        <v>45469</v>
      </c>
      <c r="C749" s="8"/>
      <c r="D749" s="12" t="s">
        <v>2320</v>
      </c>
      <c r="E749" s="12" t="s">
        <v>1542</v>
      </c>
      <c r="F749" s="18" t="s">
        <v>1779</v>
      </c>
      <c r="G749" s="8"/>
      <c r="H749" s="8">
        <v>1</v>
      </c>
      <c r="I749" s="8">
        <v>1</v>
      </c>
      <c r="J749" s="8"/>
      <c r="K749" s="8">
        <f>+G749+H749-I749+J749</f>
        <v>0</v>
      </c>
      <c r="L749" s="8"/>
      <c r="M749" s="9">
        <v>1559.9954</v>
      </c>
      <c r="N749" s="9">
        <f t="shared" si="68"/>
        <v>0</v>
      </c>
      <c r="O749" s="9"/>
      <c r="P749" s="9"/>
      <c r="Q749" s="10" t="s">
        <v>520</v>
      </c>
    </row>
    <row r="750" spans="1:17" s="11" customFormat="1" ht="40.5" x14ac:dyDescent="0.3">
      <c r="A750" s="18" t="s">
        <v>1405</v>
      </c>
      <c r="B750" s="23">
        <v>45469</v>
      </c>
      <c r="C750" s="8"/>
      <c r="D750" s="12" t="s">
        <v>2318</v>
      </c>
      <c r="E750" s="12" t="s">
        <v>1284</v>
      </c>
      <c r="F750" s="18" t="s">
        <v>1779</v>
      </c>
      <c r="G750" s="8"/>
      <c r="H750" s="8">
        <v>2</v>
      </c>
      <c r="I750" s="8"/>
      <c r="J750" s="8"/>
      <c r="K750" s="8">
        <f>+G750+H750-I750+J750</f>
        <v>2</v>
      </c>
      <c r="L750" s="8"/>
      <c r="M750" s="9">
        <v>560.5</v>
      </c>
      <c r="N750" s="9">
        <f t="shared" si="68"/>
        <v>1121</v>
      </c>
      <c r="O750" s="9"/>
      <c r="P750" s="9"/>
      <c r="Q750" s="10" t="s">
        <v>1277</v>
      </c>
    </row>
    <row r="751" spans="1:17" s="11" customFormat="1" ht="40.5" x14ac:dyDescent="0.3">
      <c r="A751" s="18" t="s">
        <v>1408</v>
      </c>
      <c r="B751" s="23">
        <v>44193</v>
      </c>
      <c r="C751" s="8"/>
      <c r="D751" s="12" t="s">
        <v>2318</v>
      </c>
      <c r="E751" s="12" t="s">
        <v>1280</v>
      </c>
      <c r="F751" s="18" t="s">
        <v>1779</v>
      </c>
      <c r="G751" s="8"/>
      <c r="H751" s="8">
        <v>2</v>
      </c>
      <c r="I751" s="8"/>
      <c r="J751" s="8"/>
      <c r="K751" s="8">
        <f>+G751+H751-I751+J751</f>
        <v>2</v>
      </c>
      <c r="L751" s="8"/>
      <c r="M751" s="9">
        <v>1062</v>
      </c>
      <c r="N751" s="9">
        <f t="shared" si="68"/>
        <v>2124</v>
      </c>
      <c r="O751" s="9"/>
      <c r="P751" s="9"/>
      <c r="Q751" s="10" t="s">
        <v>1277</v>
      </c>
    </row>
    <row r="752" spans="1:17" s="11" customFormat="1" ht="40.5" x14ac:dyDescent="0.3">
      <c r="A752" s="18" t="s">
        <v>1409</v>
      </c>
      <c r="B752" s="23" t="s">
        <v>4</v>
      </c>
      <c r="C752" s="8"/>
      <c r="D752" s="12" t="s">
        <v>2318</v>
      </c>
      <c r="E752" s="12" t="s">
        <v>1285</v>
      </c>
      <c r="F752" s="18" t="s">
        <v>1779</v>
      </c>
      <c r="G752" s="8"/>
      <c r="H752" s="8">
        <v>2</v>
      </c>
      <c r="I752" s="8">
        <f>1+1</f>
        <v>2</v>
      </c>
      <c r="J752" s="8"/>
      <c r="K752" s="8">
        <f>+G752+H752-I752+J752</f>
        <v>0</v>
      </c>
      <c r="L752" s="8"/>
      <c r="M752" s="9">
        <v>660.8</v>
      </c>
      <c r="N752" s="9">
        <f t="shared" si="68"/>
        <v>0</v>
      </c>
      <c r="O752" s="9"/>
      <c r="P752" s="9"/>
      <c r="Q752" s="10" t="s">
        <v>1277</v>
      </c>
    </row>
    <row r="753" spans="1:17" s="11" customFormat="1" ht="40.5" x14ac:dyDescent="0.3">
      <c r="A753" s="18" t="s">
        <v>1410</v>
      </c>
      <c r="B753" s="23" t="s">
        <v>4</v>
      </c>
      <c r="C753" s="8"/>
      <c r="D753" s="12" t="s">
        <v>2438</v>
      </c>
      <c r="E753" s="12" t="s">
        <v>287</v>
      </c>
      <c r="F753" s="18" t="s">
        <v>1779</v>
      </c>
      <c r="G753" s="8">
        <v>1</v>
      </c>
      <c r="H753" s="8"/>
      <c r="I753" s="8"/>
      <c r="J753" s="8"/>
      <c r="K753" s="8">
        <f>+G753+H753+-I753</f>
        <v>1</v>
      </c>
      <c r="L753" s="8"/>
      <c r="M753" s="9">
        <v>0</v>
      </c>
      <c r="N753" s="9">
        <f t="shared" si="68"/>
        <v>0</v>
      </c>
      <c r="O753" s="9"/>
      <c r="P753" s="9"/>
      <c r="Q753" s="10" t="s">
        <v>235</v>
      </c>
    </row>
    <row r="754" spans="1:17" s="11" customFormat="1" ht="40.5" x14ac:dyDescent="0.3">
      <c r="A754" s="18" t="s">
        <v>1411</v>
      </c>
      <c r="B754" s="23"/>
      <c r="C754" s="8"/>
      <c r="D754" s="12" t="s">
        <v>2438</v>
      </c>
      <c r="E754" s="12" t="s">
        <v>1540</v>
      </c>
      <c r="F754" s="18" t="s">
        <v>1779</v>
      </c>
      <c r="G754" s="8">
        <v>67</v>
      </c>
      <c r="H754" s="8"/>
      <c r="I754" s="8">
        <f>1+24</f>
        <v>25</v>
      </c>
      <c r="J754" s="8"/>
      <c r="K754" s="8">
        <f>+G754+H754-I754+J754</f>
        <v>42</v>
      </c>
      <c r="L754" s="8"/>
      <c r="M754" s="9"/>
      <c r="N754" s="9">
        <f t="shared" si="68"/>
        <v>0</v>
      </c>
      <c r="O754" s="9"/>
      <c r="P754" s="9"/>
      <c r="Q754" s="10" t="s">
        <v>235</v>
      </c>
    </row>
    <row r="755" spans="1:17" s="11" customFormat="1" ht="40.5" x14ac:dyDescent="0.3">
      <c r="A755" s="18" t="s">
        <v>1420</v>
      </c>
      <c r="B755" s="23" t="s">
        <v>241</v>
      </c>
      <c r="C755" s="8"/>
      <c r="D755" s="12" t="s">
        <v>2438</v>
      </c>
      <c r="E755" s="12" t="s">
        <v>1229</v>
      </c>
      <c r="F755" s="18" t="s">
        <v>1779</v>
      </c>
      <c r="G755" s="8">
        <v>6</v>
      </c>
      <c r="H755" s="8"/>
      <c r="I755" s="8"/>
      <c r="J755" s="8"/>
      <c r="K755" s="8">
        <f t="shared" ref="K755:K763" si="69">+G755+H755+-I755</f>
        <v>6</v>
      </c>
      <c r="L755" s="8"/>
      <c r="M755" s="9">
        <v>189</v>
      </c>
      <c r="N755" s="9">
        <f t="shared" si="68"/>
        <v>1134</v>
      </c>
      <c r="O755" s="9"/>
      <c r="P755" s="9"/>
      <c r="Q755" s="10" t="s">
        <v>235</v>
      </c>
    </row>
    <row r="756" spans="1:17" s="11" customFormat="1" ht="40.5" x14ac:dyDescent="0.3">
      <c r="A756" s="18" t="s">
        <v>1421</v>
      </c>
      <c r="B756" s="23" t="s">
        <v>241</v>
      </c>
      <c r="C756" s="8"/>
      <c r="D756" s="12" t="s">
        <v>2438</v>
      </c>
      <c r="E756" s="12" t="s">
        <v>288</v>
      </c>
      <c r="F756" s="18" t="s">
        <v>1779</v>
      </c>
      <c r="G756" s="8">
        <f>87-24-1</f>
        <v>62</v>
      </c>
      <c r="H756" s="8"/>
      <c r="I756" s="8">
        <f>1+1+10+5+1+3+2+2+1+4+1+2</f>
        <v>33</v>
      </c>
      <c r="J756" s="8"/>
      <c r="K756" s="8">
        <f t="shared" si="69"/>
        <v>29</v>
      </c>
      <c r="L756" s="8"/>
      <c r="M756" s="9"/>
      <c r="N756" s="9">
        <f t="shared" si="68"/>
        <v>0</v>
      </c>
      <c r="O756" s="9"/>
      <c r="P756" s="9"/>
      <c r="Q756" s="10" t="s">
        <v>235</v>
      </c>
    </row>
    <row r="757" spans="1:17" s="11" customFormat="1" ht="40.5" x14ac:dyDescent="0.3">
      <c r="A757" s="18" t="s">
        <v>1422</v>
      </c>
      <c r="B757" s="23"/>
      <c r="C757" s="8"/>
      <c r="D757" s="12" t="s">
        <v>2438</v>
      </c>
      <c r="E757" s="12" t="s">
        <v>289</v>
      </c>
      <c r="F757" s="18" t="s">
        <v>1779</v>
      </c>
      <c r="G757" s="8">
        <v>6</v>
      </c>
      <c r="H757" s="8"/>
      <c r="I757" s="8">
        <v>1</v>
      </c>
      <c r="J757" s="8"/>
      <c r="K757" s="8">
        <f t="shared" si="69"/>
        <v>5</v>
      </c>
      <c r="L757" s="8"/>
      <c r="M757" s="9">
        <v>0</v>
      </c>
      <c r="N757" s="9">
        <f t="shared" si="68"/>
        <v>0</v>
      </c>
      <c r="O757" s="9"/>
      <c r="P757" s="9"/>
      <c r="Q757" s="10" t="s">
        <v>235</v>
      </c>
    </row>
    <row r="758" spans="1:17" s="11" customFormat="1" ht="40.5" x14ac:dyDescent="0.3">
      <c r="A758" s="18" t="s">
        <v>1434</v>
      </c>
      <c r="B758" s="23" t="s">
        <v>241</v>
      </c>
      <c r="C758" s="8"/>
      <c r="D758" s="12" t="s">
        <v>2438</v>
      </c>
      <c r="E758" s="12" t="s">
        <v>290</v>
      </c>
      <c r="F758" s="18" t="s">
        <v>1779</v>
      </c>
      <c r="G758" s="8">
        <v>6</v>
      </c>
      <c r="H758" s="8"/>
      <c r="I758" s="8"/>
      <c r="J758" s="8"/>
      <c r="K758" s="8">
        <f t="shared" si="69"/>
        <v>6</v>
      </c>
      <c r="L758" s="8"/>
      <c r="M758" s="9">
        <v>0</v>
      </c>
      <c r="N758" s="9">
        <f t="shared" si="68"/>
        <v>0</v>
      </c>
      <c r="O758" s="9"/>
      <c r="P758" s="9"/>
      <c r="Q758" s="10" t="s">
        <v>235</v>
      </c>
    </row>
    <row r="759" spans="1:17" s="11" customFormat="1" ht="39.950000000000003" customHeight="1" x14ac:dyDescent="0.3">
      <c r="A759" s="18" t="s">
        <v>1435</v>
      </c>
      <c r="B759" s="23"/>
      <c r="C759" s="8"/>
      <c r="D759" s="12" t="s">
        <v>2438</v>
      </c>
      <c r="E759" s="12" t="s">
        <v>291</v>
      </c>
      <c r="F759" s="18" t="s">
        <v>1779</v>
      </c>
      <c r="G759" s="8">
        <v>13</v>
      </c>
      <c r="H759" s="8"/>
      <c r="I759" s="8">
        <v>2</v>
      </c>
      <c r="J759" s="8"/>
      <c r="K759" s="8">
        <f t="shared" si="69"/>
        <v>11</v>
      </c>
      <c r="L759" s="8"/>
      <c r="M759" s="9">
        <v>0</v>
      </c>
      <c r="N759" s="9">
        <f t="shared" si="68"/>
        <v>0</v>
      </c>
      <c r="O759" s="9"/>
      <c r="P759" s="9"/>
      <c r="Q759" s="10" t="s">
        <v>235</v>
      </c>
    </row>
    <row r="760" spans="1:17" s="11" customFormat="1" ht="39.950000000000003" customHeight="1" x14ac:dyDescent="0.3">
      <c r="A760" s="18" t="s">
        <v>1436</v>
      </c>
      <c r="B760" s="23"/>
      <c r="C760" s="8"/>
      <c r="D760" s="12" t="s">
        <v>2438</v>
      </c>
      <c r="E760" s="12" t="s">
        <v>292</v>
      </c>
      <c r="F760" s="18" t="s">
        <v>1779</v>
      </c>
      <c r="G760" s="8">
        <v>30</v>
      </c>
      <c r="H760" s="8"/>
      <c r="I760" s="8"/>
      <c r="J760" s="8"/>
      <c r="K760" s="8">
        <f t="shared" si="69"/>
        <v>30</v>
      </c>
      <c r="L760" s="8"/>
      <c r="M760" s="9">
        <v>0</v>
      </c>
      <c r="N760" s="9">
        <f t="shared" si="68"/>
        <v>0</v>
      </c>
      <c r="O760" s="9"/>
      <c r="P760" s="9"/>
      <c r="Q760" s="10" t="s">
        <v>235</v>
      </c>
    </row>
    <row r="761" spans="1:17" s="11" customFormat="1" ht="40.5" x14ac:dyDescent="0.3">
      <c r="A761" s="18" t="s">
        <v>1437</v>
      </c>
      <c r="B761" s="23">
        <v>45414</v>
      </c>
      <c r="C761" s="8"/>
      <c r="D761" s="25" t="s">
        <v>2438</v>
      </c>
      <c r="E761" s="12" t="s">
        <v>1230</v>
      </c>
      <c r="F761" s="18" t="s">
        <v>1779</v>
      </c>
      <c r="G761" s="8">
        <v>14</v>
      </c>
      <c r="H761" s="8"/>
      <c r="I761" s="8">
        <v>1</v>
      </c>
      <c r="J761" s="8"/>
      <c r="K761" s="8">
        <f t="shared" si="69"/>
        <v>13</v>
      </c>
      <c r="L761" s="8"/>
      <c r="M761" s="9">
        <v>189</v>
      </c>
      <c r="N761" s="9">
        <f t="shared" si="68"/>
        <v>2457</v>
      </c>
      <c r="O761" s="9"/>
      <c r="P761" s="9"/>
      <c r="Q761" s="10" t="s">
        <v>235</v>
      </c>
    </row>
    <row r="762" spans="1:17" s="11" customFormat="1" ht="40.5" x14ac:dyDescent="0.3">
      <c r="A762" s="18" t="s">
        <v>1438</v>
      </c>
      <c r="B762" s="23">
        <v>45414</v>
      </c>
      <c r="C762" s="8"/>
      <c r="D762" s="25" t="s">
        <v>2474</v>
      </c>
      <c r="E762" s="12" t="s">
        <v>188</v>
      </c>
      <c r="F762" s="18" t="s">
        <v>1779</v>
      </c>
      <c r="G762" s="8">
        <f>8+7+2</f>
        <v>17</v>
      </c>
      <c r="H762" s="8"/>
      <c r="I762" s="8"/>
      <c r="J762" s="8"/>
      <c r="K762" s="8">
        <f t="shared" si="69"/>
        <v>17</v>
      </c>
      <c r="L762" s="8"/>
      <c r="M762" s="9">
        <v>239</v>
      </c>
      <c r="N762" s="9">
        <f t="shared" si="68"/>
        <v>4063</v>
      </c>
      <c r="O762" s="9"/>
      <c r="P762" s="9"/>
      <c r="Q762" s="10" t="s">
        <v>159</v>
      </c>
    </row>
    <row r="763" spans="1:17" s="11" customFormat="1" ht="40.5" x14ac:dyDescent="0.3">
      <c r="A763" s="18" t="s">
        <v>1439</v>
      </c>
      <c r="B763" s="23">
        <v>44193</v>
      </c>
      <c r="C763" s="8"/>
      <c r="D763" s="25" t="s">
        <v>2438</v>
      </c>
      <c r="E763" s="12" t="s">
        <v>293</v>
      </c>
      <c r="F763" s="18" t="s">
        <v>1779</v>
      </c>
      <c r="G763" s="8">
        <v>6</v>
      </c>
      <c r="H763" s="8"/>
      <c r="I763" s="8"/>
      <c r="J763" s="8"/>
      <c r="K763" s="8">
        <f t="shared" si="69"/>
        <v>6</v>
      </c>
      <c r="L763" s="8"/>
      <c r="M763" s="9"/>
      <c r="N763" s="9">
        <f t="shared" si="68"/>
        <v>0</v>
      </c>
      <c r="O763" s="9"/>
      <c r="P763" s="9"/>
      <c r="Q763" s="10" t="s">
        <v>235</v>
      </c>
    </row>
    <row r="764" spans="1:17" s="11" customFormat="1" ht="20.25" x14ac:dyDescent="0.3">
      <c r="A764" s="18" t="s">
        <v>1440</v>
      </c>
      <c r="B764" s="19">
        <v>45828</v>
      </c>
      <c r="C764" s="20"/>
      <c r="D764" s="53" t="s">
        <v>2394</v>
      </c>
      <c r="E764" s="12" t="s">
        <v>2242</v>
      </c>
      <c r="F764" s="18" t="s">
        <v>1779</v>
      </c>
      <c r="G764" s="8"/>
      <c r="H764" s="8">
        <v>4</v>
      </c>
      <c r="I764" s="8"/>
      <c r="J764" s="8"/>
      <c r="K764" s="8">
        <f t="shared" ref="K764:K772" si="70">+G764+H764-I764+J764</f>
        <v>4</v>
      </c>
      <c r="L764" s="8"/>
      <c r="M764" s="9">
        <v>1593</v>
      </c>
      <c r="N764" s="9"/>
      <c r="O764" s="9"/>
      <c r="P764" s="9"/>
      <c r="Q764" s="10" t="s">
        <v>25</v>
      </c>
    </row>
    <row r="765" spans="1:17" s="11" customFormat="1" ht="40.5" customHeight="1" x14ac:dyDescent="0.3">
      <c r="A765" s="18" t="s">
        <v>1441</v>
      </c>
      <c r="B765" s="23">
        <v>45414</v>
      </c>
      <c r="C765" s="8"/>
      <c r="D765" s="25" t="s">
        <v>2442</v>
      </c>
      <c r="E765" s="12" t="s">
        <v>1467</v>
      </c>
      <c r="F765" s="18" t="s">
        <v>1779</v>
      </c>
      <c r="G765" s="8"/>
      <c r="H765" s="8">
        <v>92</v>
      </c>
      <c r="I765" s="8">
        <v>92</v>
      </c>
      <c r="J765" s="8"/>
      <c r="K765" s="8">
        <f t="shared" si="70"/>
        <v>0</v>
      </c>
      <c r="L765" s="8"/>
      <c r="M765" s="9">
        <v>1115.0999999999999</v>
      </c>
      <c r="N765" s="9">
        <f>+K765*M765</f>
        <v>0</v>
      </c>
      <c r="O765" s="9"/>
      <c r="P765" s="9"/>
      <c r="Q765" s="10" t="s">
        <v>1478</v>
      </c>
    </row>
    <row r="766" spans="1:17" s="11" customFormat="1" ht="40.5" customHeight="1" x14ac:dyDescent="0.3">
      <c r="A766" s="18" t="s">
        <v>1442</v>
      </c>
      <c r="B766" s="23">
        <v>45414</v>
      </c>
      <c r="C766" s="8"/>
      <c r="D766" s="25" t="s">
        <v>2442</v>
      </c>
      <c r="E766" s="12" t="s">
        <v>1382</v>
      </c>
      <c r="F766" s="18" t="s">
        <v>1779</v>
      </c>
      <c r="G766" s="8">
        <v>4</v>
      </c>
      <c r="H766" s="8"/>
      <c r="I766" s="8">
        <v>4</v>
      </c>
      <c r="J766" s="8"/>
      <c r="K766" s="8">
        <f t="shared" si="70"/>
        <v>0</v>
      </c>
      <c r="L766" s="8"/>
      <c r="M766" s="9"/>
      <c r="N766" s="9"/>
      <c r="O766" s="9"/>
      <c r="P766" s="9">
        <f>+K766*O766</f>
        <v>0</v>
      </c>
      <c r="Q766" s="10" t="s">
        <v>520</v>
      </c>
    </row>
    <row r="767" spans="1:17" s="11" customFormat="1" ht="41.25" customHeight="1" x14ac:dyDescent="0.3">
      <c r="A767" s="18" t="s">
        <v>1443</v>
      </c>
      <c r="B767" s="23">
        <v>45414</v>
      </c>
      <c r="C767" s="8"/>
      <c r="D767" s="25" t="s">
        <v>2442</v>
      </c>
      <c r="E767" s="12" t="s">
        <v>1383</v>
      </c>
      <c r="F767" s="18" t="s">
        <v>1779</v>
      </c>
      <c r="G767" s="8">
        <v>5</v>
      </c>
      <c r="H767" s="8"/>
      <c r="I767" s="8">
        <v>5</v>
      </c>
      <c r="J767" s="8"/>
      <c r="K767" s="8">
        <f t="shared" si="70"/>
        <v>0</v>
      </c>
      <c r="L767" s="8"/>
      <c r="M767" s="9"/>
      <c r="N767" s="9"/>
      <c r="O767" s="9"/>
      <c r="P767" s="9">
        <f>+K767*O767</f>
        <v>0</v>
      </c>
      <c r="Q767" s="10" t="s">
        <v>520</v>
      </c>
    </row>
    <row r="768" spans="1:17" s="11" customFormat="1" ht="20.25" x14ac:dyDescent="0.3">
      <c r="A768" s="18" t="s">
        <v>1444</v>
      </c>
      <c r="B768" s="23">
        <v>45414</v>
      </c>
      <c r="C768" s="8"/>
      <c r="D768" s="25" t="s">
        <v>2442</v>
      </c>
      <c r="E768" s="12" t="s">
        <v>1384</v>
      </c>
      <c r="F768" s="18" t="s">
        <v>1779</v>
      </c>
      <c r="G768" s="8">
        <v>1</v>
      </c>
      <c r="H768" s="8"/>
      <c r="I768" s="8">
        <v>1</v>
      </c>
      <c r="J768" s="8"/>
      <c r="K768" s="8">
        <f t="shared" si="70"/>
        <v>0</v>
      </c>
      <c r="L768" s="8"/>
      <c r="M768" s="9"/>
      <c r="N768" s="9"/>
      <c r="O768" s="9"/>
      <c r="P768" s="9">
        <f>+K768*O768</f>
        <v>0</v>
      </c>
      <c r="Q768" s="10" t="s">
        <v>520</v>
      </c>
    </row>
    <row r="769" spans="1:17" s="11" customFormat="1" ht="40.5" customHeight="1" x14ac:dyDescent="0.3">
      <c r="A769" s="18" t="s">
        <v>1445</v>
      </c>
      <c r="B769" s="23">
        <v>45414</v>
      </c>
      <c r="C769" s="8"/>
      <c r="D769" s="25" t="s">
        <v>2442</v>
      </c>
      <c r="E769" s="12" t="s">
        <v>1385</v>
      </c>
      <c r="F769" s="18" t="s">
        <v>1779</v>
      </c>
      <c r="G769" s="8">
        <v>2</v>
      </c>
      <c r="H769" s="8"/>
      <c r="I769" s="8">
        <v>2</v>
      </c>
      <c r="J769" s="8"/>
      <c r="K769" s="8">
        <f t="shared" si="70"/>
        <v>0</v>
      </c>
      <c r="L769" s="8"/>
      <c r="M769" s="9"/>
      <c r="N769" s="9"/>
      <c r="O769" s="9"/>
      <c r="P769" s="9">
        <f>+K769*O769</f>
        <v>0</v>
      </c>
      <c r="Q769" s="10" t="s">
        <v>520</v>
      </c>
    </row>
    <row r="770" spans="1:17" s="11" customFormat="1" ht="40.5" customHeight="1" x14ac:dyDescent="0.3">
      <c r="A770" s="18" t="s">
        <v>1446</v>
      </c>
      <c r="B770" s="23">
        <v>45414</v>
      </c>
      <c r="C770" s="8"/>
      <c r="D770" s="25" t="s">
        <v>2442</v>
      </c>
      <c r="E770" s="12" t="s">
        <v>1381</v>
      </c>
      <c r="F770" s="18" t="s">
        <v>1779</v>
      </c>
      <c r="G770" s="8">
        <v>6</v>
      </c>
      <c r="H770" s="8"/>
      <c r="I770" s="8">
        <v>6</v>
      </c>
      <c r="J770" s="8"/>
      <c r="K770" s="8">
        <f t="shared" si="70"/>
        <v>0</v>
      </c>
      <c r="L770" s="8"/>
      <c r="M770" s="9"/>
      <c r="N770" s="9"/>
      <c r="O770" s="9"/>
      <c r="P770" s="9">
        <f>+K770*O770</f>
        <v>0</v>
      </c>
      <c r="Q770" s="10" t="s">
        <v>520</v>
      </c>
    </row>
    <row r="771" spans="1:17" s="11" customFormat="1" ht="39.950000000000003" customHeight="1" x14ac:dyDescent="0.3">
      <c r="A771" s="18" t="s">
        <v>1447</v>
      </c>
      <c r="B771" s="23">
        <v>45414</v>
      </c>
      <c r="C771" s="8"/>
      <c r="D771" s="25" t="s">
        <v>2442</v>
      </c>
      <c r="E771" s="12" t="s">
        <v>1465</v>
      </c>
      <c r="F771" s="18" t="s">
        <v>1779</v>
      </c>
      <c r="G771" s="8"/>
      <c r="H771" s="8">
        <v>15</v>
      </c>
      <c r="I771" s="8">
        <v>15</v>
      </c>
      <c r="J771" s="8"/>
      <c r="K771" s="8">
        <f t="shared" si="70"/>
        <v>0</v>
      </c>
      <c r="L771" s="8"/>
      <c r="M771" s="9">
        <v>3725.4</v>
      </c>
      <c r="N771" s="9">
        <f t="shared" ref="N771:N783" si="71">+K771*M771</f>
        <v>0</v>
      </c>
      <c r="O771" s="9"/>
      <c r="P771" s="9"/>
      <c r="Q771" s="10" t="s">
        <v>1478</v>
      </c>
    </row>
    <row r="772" spans="1:17" s="11" customFormat="1" ht="39.950000000000003" customHeight="1" x14ac:dyDescent="0.3">
      <c r="A772" s="18" t="s">
        <v>1448</v>
      </c>
      <c r="B772" s="23">
        <v>45414</v>
      </c>
      <c r="C772" s="8"/>
      <c r="D772" s="25" t="s">
        <v>2442</v>
      </c>
      <c r="E772" s="12" t="s">
        <v>1464</v>
      </c>
      <c r="F772" s="18" t="s">
        <v>1779</v>
      </c>
      <c r="G772" s="8"/>
      <c r="H772" s="8">
        <v>15</v>
      </c>
      <c r="I772" s="8">
        <v>15</v>
      </c>
      <c r="J772" s="8"/>
      <c r="K772" s="8">
        <f t="shared" si="70"/>
        <v>0</v>
      </c>
      <c r="L772" s="8"/>
      <c r="M772" s="9">
        <v>3725.4</v>
      </c>
      <c r="N772" s="9">
        <f t="shared" si="71"/>
        <v>0</v>
      </c>
      <c r="O772" s="9"/>
      <c r="P772" s="9"/>
      <c r="Q772" s="10" t="s">
        <v>1478</v>
      </c>
    </row>
    <row r="773" spans="1:17" s="11" customFormat="1" ht="39.950000000000003" customHeight="1" x14ac:dyDescent="0.3">
      <c r="A773" s="18" t="s">
        <v>1449</v>
      </c>
      <c r="B773" s="23">
        <v>45673</v>
      </c>
      <c r="C773" s="8"/>
      <c r="D773" s="25" t="s">
        <v>2442</v>
      </c>
      <c r="E773" s="12" t="s">
        <v>1803</v>
      </c>
      <c r="F773" s="18" t="s">
        <v>1779</v>
      </c>
      <c r="G773" s="8"/>
      <c r="H773" s="8">
        <v>44</v>
      </c>
      <c r="I773" s="8">
        <v>44</v>
      </c>
      <c r="J773" s="8"/>
      <c r="K773" s="8">
        <f>+G773+H773+-I773</f>
        <v>0</v>
      </c>
      <c r="L773" s="8"/>
      <c r="M773" s="9">
        <v>2242</v>
      </c>
      <c r="N773" s="9">
        <f t="shared" si="71"/>
        <v>0</v>
      </c>
      <c r="O773" s="9"/>
      <c r="P773" s="9"/>
      <c r="Q773" s="10" t="s">
        <v>520</v>
      </c>
    </row>
    <row r="774" spans="1:17" s="11" customFormat="1" ht="39.950000000000003" customHeight="1" x14ac:dyDescent="0.3">
      <c r="A774" s="18" t="s">
        <v>1450</v>
      </c>
      <c r="B774" s="23">
        <v>45673</v>
      </c>
      <c r="C774" s="8"/>
      <c r="D774" s="25" t="s">
        <v>2442</v>
      </c>
      <c r="E774" s="12" t="s">
        <v>1804</v>
      </c>
      <c r="F774" s="18" t="s">
        <v>1779</v>
      </c>
      <c r="G774" s="8"/>
      <c r="H774" s="8">
        <v>60</v>
      </c>
      <c r="I774" s="8">
        <v>60</v>
      </c>
      <c r="J774" s="8"/>
      <c r="K774" s="8">
        <f>+G774+H774+-I774</f>
        <v>0</v>
      </c>
      <c r="L774" s="8"/>
      <c r="M774" s="9">
        <v>2478</v>
      </c>
      <c r="N774" s="9">
        <f t="shared" si="71"/>
        <v>0</v>
      </c>
      <c r="O774" s="9"/>
      <c r="P774" s="9"/>
      <c r="Q774" s="10" t="s">
        <v>520</v>
      </c>
    </row>
    <row r="775" spans="1:17" s="11" customFormat="1" ht="39.950000000000003" customHeight="1" x14ac:dyDescent="0.3">
      <c r="A775" s="18" t="s">
        <v>1451</v>
      </c>
      <c r="B775" s="23">
        <v>45665</v>
      </c>
      <c r="C775" s="8"/>
      <c r="D775" s="25" t="s">
        <v>2442</v>
      </c>
      <c r="E775" s="12" t="s">
        <v>1805</v>
      </c>
      <c r="F775" s="18" t="s">
        <v>1779</v>
      </c>
      <c r="G775" s="8"/>
      <c r="H775" s="8">
        <v>65</v>
      </c>
      <c r="I775" s="8">
        <v>65</v>
      </c>
      <c r="J775" s="8"/>
      <c r="K775" s="8">
        <f>+G775+H775+-I775</f>
        <v>0</v>
      </c>
      <c r="L775" s="8"/>
      <c r="M775" s="9">
        <v>880</v>
      </c>
      <c r="N775" s="9">
        <f t="shared" si="71"/>
        <v>0</v>
      </c>
      <c r="O775" s="9"/>
      <c r="P775" s="9"/>
      <c r="Q775" s="10" t="s">
        <v>520</v>
      </c>
    </row>
    <row r="776" spans="1:17" s="11" customFormat="1" ht="39.950000000000003" customHeight="1" x14ac:dyDescent="0.3">
      <c r="A776" s="18" t="s">
        <v>1452</v>
      </c>
      <c r="B776" s="23"/>
      <c r="C776" s="8"/>
      <c r="D776" s="24" t="s">
        <v>2387</v>
      </c>
      <c r="E776" s="12" t="s">
        <v>1492</v>
      </c>
      <c r="F776" s="18" t="s">
        <v>1779</v>
      </c>
      <c r="G776" s="8"/>
      <c r="H776" s="8">
        <v>8</v>
      </c>
      <c r="I776" s="8">
        <f>2+1+1+1</f>
        <v>5</v>
      </c>
      <c r="J776" s="8"/>
      <c r="K776" s="8">
        <f>+G776+H776-I776+J776</f>
        <v>3</v>
      </c>
      <c r="L776" s="8"/>
      <c r="M776" s="9">
        <v>1062</v>
      </c>
      <c r="N776" s="9">
        <f t="shared" si="71"/>
        <v>3186</v>
      </c>
      <c r="O776" s="9"/>
      <c r="P776" s="9"/>
      <c r="Q776" s="10" t="s">
        <v>18</v>
      </c>
    </row>
    <row r="777" spans="1:17" s="11" customFormat="1" ht="39.950000000000003" customHeight="1" x14ac:dyDescent="0.3">
      <c r="A777" s="18" t="s">
        <v>1459</v>
      </c>
      <c r="B777" s="23"/>
      <c r="C777" s="8"/>
      <c r="D777" s="25" t="s">
        <v>2386</v>
      </c>
      <c r="E777" s="12" t="s">
        <v>378</v>
      </c>
      <c r="F777" s="18" t="s">
        <v>1779</v>
      </c>
      <c r="G777" s="8">
        <v>1</v>
      </c>
      <c r="H777" s="8"/>
      <c r="I777" s="8">
        <v>1</v>
      </c>
      <c r="J777" s="8"/>
      <c r="K777" s="8">
        <f>+G777+H777+-I777</f>
        <v>0</v>
      </c>
      <c r="L777" s="8"/>
      <c r="M777" s="9">
        <v>295</v>
      </c>
      <c r="N777" s="9">
        <f t="shared" si="71"/>
        <v>0</v>
      </c>
      <c r="O777" s="9"/>
      <c r="P777" s="9"/>
      <c r="Q777" s="10" t="s">
        <v>297</v>
      </c>
    </row>
    <row r="778" spans="1:17" s="11" customFormat="1" ht="39.950000000000003" customHeight="1" x14ac:dyDescent="0.3">
      <c r="A778" s="18" t="s">
        <v>1460</v>
      </c>
      <c r="B778" s="23"/>
      <c r="C778" s="8"/>
      <c r="D778" s="25" t="s">
        <v>2386</v>
      </c>
      <c r="E778" s="12" t="s">
        <v>377</v>
      </c>
      <c r="F778" s="18" t="s">
        <v>1779</v>
      </c>
      <c r="G778" s="8">
        <v>2</v>
      </c>
      <c r="H778" s="8"/>
      <c r="I778" s="8">
        <f>1+1</f>
        <v>2</v>
      </c>
      <c r="J778" s="8"/>
      <c r="K778" s="8">
        <f>+G778+H778+-I778</f>
        <v>0</v>
      </c>
      <c r="L778" s="8"/>
      <c r="M778" s="9">
        <v>295</v>
      </c>
      <c r="N778" s="9">
        <f t="shared" si="71"/>
        <v>0</v>
      </c>
      <c r="O778" s="9"/>
      <c r="P778" s="9"/>
      <c r="Q778" s="10" t="s">
        <v>297</v>
      </c>
    </row>
    <row r="779" spans="1:17" s="11" customFormat="1" ht="39.950000000000003" customHeight="1" x14ac:dyDescent="0.3">
      <c r="A779" s="18" t="s">
        <v>1469</v>
      </c>
      <c r="B779" s="23" t="s">
        <v>4</v>
      </c>
      <c r="C779" s="8"/>
      <c r="D779" s="25" t="s">
        <v>2438</v>
      </c>
      <c r="E779" s="12" t="s">
        <v>1773</v>
      </c>
      <c r="F779" s="18" t="s">
        <v>1779</v>
      </c>
      <c r="G779" s="8"/>
      <c r="H779" s="8">
        <v>0</v>
      </c>
      <c r="I779" s="8"/>
      <c r="J779" s="8"/>
      <c r="K779" s="8">
        <f>+G779+H779-I779+J779</f>
        <v>0</v>
      </c>
      <c r="L779" s="8"/>
      <c r="M779" s="9">
        <v>58.9</v>
      </c>
      <c r="N779" s="9">
        <f t="shared" si="71"/>
        <v>0</v>
      </c>
      <c r="O779" s="9"/>
      <c r="P779" s="9"/>
      <c r="Q779" s="10" t="s">
        <v>235</v>
      </c>
    </row>
    <row r="780" spans="1:17" s="11" customFormat="1" ht="39.950000000000003" customHeight="1" x14ac:dyDescent="0.3">
      <c r="A780" s="18" t="s">
        <v>1470</v>
      </c>
      <c r="B780" s="23"/>
      <c r="C780" s="8"/>
      <c r="D780" s="25" t="s">
        <v>2438</v>
      </c>
      <c r="E780" s="12" t="s">
        <v>272</v>
      </c>
      <c r="F780" s="18" t="s">
        <v>1779</v>
      </c>
      <c r="G780" s="8">
        <f>468-12</f>
        <v>456</v>
      </c>
      <c r="H780" s="8"/>
      <c r="I780" s="8">
        <f>12+12+12+12+12+12+12+12+12+12+12+48-6+84+72+84+42</f>
        <v>456</v>
      </c>
      <c r="J780" s="8"/>
      <c r="K780" s="8">
        <f t="shared" ref="K780:K789" si="72">+G780+H780+-I780</f>
        <v>0</v>
      </c>
      <c r="L780" s="8"/>
      <c r="M780" s="9">
        <v>51.13</v>
      </c>
      <c r="N780" s="9">
        <f t="shared" si="71"/>
        <v>0</v>
      </c>
      <c r="O780" s="9"/>
      <c r="P780" s="9"/>
      <c r="Q780" s="10" t="s">
        <v>235</v>
      </c>
    </row>
    <row r="781" spans="1:17" s="11" customFormat="1" ht="39.950000000000003" customHeight="1" x14ac:dyDescent="0.3">
      <c r="A781" s="18" t="s">
        <v>1471</v>
      </c>
      <c r="B781" s="23"/>
      <c r="C781" s="8"/>
      <c r="D781" s="25" t="s">
        <v>2438</v>
      </c>
      <c r="E781" s="12" t="s">
        <v>273</v>
      </c>
      <c r="F781" s="18" t="s">
        <v>1779</v>
      </c>
      <c r="G781" s="8">
        <f>1176-12</f>
        <v>1164</v>
      </c>
      <c r="H781" s="8">
        <f>50*12</f>
        <v>600</v>
      </c>
      <c r="I781" s="8">
        <f>978+36+60+36+6+12+84+12+12+48+24+60+12+60+36</f>
        <v>1476</v>
      </c>
      <c r="J781" s="8"/>
      <c r="K781" s="8">
        <f t="shared" si="72"/>
        <v>288</v>
      </c>
      <c r="L781" s="8">
        <v>396</v>
      </c>
      <c r="M781" s="9">
        <v>58.901600000000002</v>
      </c>
      <c r="N781" s="9">
        <f t="shared" si="71"/>
        <v>16963.660800000001</v>
      </c>
      <c r="O781" s="9"/>
      <c r="P781" s="9"/>
      <c r="Q781" s="10" t="s">
        <v>235</v>
      </c>
    </row>
    <row r="782" spans="1:17" s="11" customFormat="1" ht="39.950000000000003" customHeight="1" x14ac:dyDescent="0.3">
      <c r="A782" s="18" t="s">
        <v>1472</v>
      </c>
      <c r="B782" s="23">
        <v>45384</v>
      </c>
      <c r="C782" s="8"/>
      <c r="D782" s="25" t="s">
        <v>2386</v>
      </c>
      <c r="E782" s="12" t="s">
        <v>379</v>
      </c>
      <c r="F782" s="18" t="s">
        <v>1779</v>
      </c>
      <c r="G782" s="8">
        <v>1</v>
      </c>
      <c r="H782" s="8"/>
      <c r="I782" s="8"/>
      <c r="J782" s="8"/>
      <c r="K782" s="8">
        <f t="shared" si="72"/>
        <v>1</v>
      </c>
      <c r="L782" s="8"/>
      <c r="M782" s="9">
        <v>725</v>
      </c>
      <c r="N782" s="9">
        <f t="shared" si="71"/>
        <v>725</v>
      </c>
      <c r="O782" s="9"/>
      <c r="P782" s="9"/>
      <c r="Q782" s="55" t="s">
        <v>297</v>
      </c>
    </row>
    <row r="783" spans="1:17" s="11" customFormat="1" ht="39.950000000000003" customHeight="1" x14ac:dyDescent="0.3">
      <c r="A783" s="18" t="s">
        <v>1473</v>
      </c>
      <c r="B783" s="23"/>
      <c r="C783" s="8"/>
      <c r="D783" s="25" t="s">
        <v>2386</v>
      </c>
      <c r="E783" s="12" t="s">
        <v>380</v>
      </c>
      <c r="F783" s="18" t="s">
        <v>1779</v>
      </c>
      <c r="G783" s="8">
        <v>1</v>
      </c>
      <c r="H783" s="8"/>
      <c r="I783" s="8"/>
      <c r="J783" s="8"/>
      <c r="K783" s="8">
        <f t="shared" si="72"/>
        <v>1</v>
      </c>
      <c r="L783" s="8"/>
      <c r="M783" s="9">
        <v>0</v>
      </c>
      <c r="N783" s="9">
        <f t="shared" si="71"/>
        <v>0</v>
      </c>
      <c r="O783" s="9"/>
      <c r="P783" s="9"/>
      <c r="Q783" s="10" t="s">
        <v>297</v>
      </c>
    </row>
    <row r="784" spans="1:17" s="11" customFormat="1" ht="39.950000000000003" customHeight="1" x14ac:dyDescent="0.3">
      <c r="A784" s="18" t="s">
        <v>1474</v>
      </c>
      <c r="B784" s="23">
        <v>45499</v>
      </c>
      <c r="C784" s="8"/>
      <c r="D784" s="25" t="s">
        <v>2386</v>
      </c>
      <c r="E784" s="12" t="s">
        <v>428</v>
      </c>
      <c r="F784" s="18" t="s">
        <v>1779</v>
      </c>
      <c r="G784" s="8">
        <v>3</v>
      </c>
      <c r="H784" s="8"/>
      <c r="I784" s="8"/>
      <c r="J784" s="8"/>
      <c r="K784" s="8">
        <f t="shared" si="72"/>
        <v>3</v>
      </c>
      <c r="L784" s="8"/>
      <c r="M784" s="9">
        <v>200</v>
      </c>
      <c r="N784" s="9"/>
      <c r="O784" s="9"/>
      <c r="P784" s="9"/>
      <c r="Q784" s="10" t="s">
        <v>297</v>
      </c>
    </row>
    <row r="785" spans="1:17" s="11" customFormat="1" ht="39.950000000000003" customHeight="1" x14ac:dyDescent="0.3">
      <c r="A785" s="18" t="s">
        <v>1475</v>
      </c>
      <c r="B785" s="23">
        <v>45698</v>
      </c>
      <c r="C785" s="8">
        <v>10</v>
      </c>
      <c r="D785" s="25" t="s">
        <v>2327</v>
      </c>
      <c r="E785" s="12" t="s">
        <v>274</v>
      </c>
      <c r="F785" s="18" t="s">
        <v>1779</v>
      </c>
      <c r="G785" s="8">
        <f>366-6-12-6-6-6-12-12-6</f>
        <v>300</v>
      </c>
      <c r="H785" s="8">
        <f>300+960</f>
        <v>1260</v>
      </c>
      <c r="I785" s="8">
        <f>1066+18+30+6+30+42+6+42+2+6+6+42+6+24+66+12+30+30+6+12+30+42+6</f>
        <v>1560</v>
      </c>
      <c r="J785" s="8"/>
      <c r="K785" s="8">
        <f t="shared" si="72"/>
        <v>0</v>
      </c>
      <c r="L785" s="8">
        <v>48</v>
      </c>
      <c r="M785" s="9">
        <v>113.833</v>
      </c>
      <c r="N785" s="9">
        <f t="shared" ref="N785:N794" si="73">+K785*M785</f>
        <v>0</v>
      </c>
      <c r="O785" s="9"/>
      <c r="P785" s="9"/>
      <c r="Q785" s="10" t="s">
        <v>235</v>
      </c>
    </row>
    <row r="786" spans="1:17" s="11" customFormat="1" ht="39.950000000000003" customHeight="1" x14ac:dyDescent="0.3">
      <c r="A786" s="18" t="s">
        <v>1476</v>
      </c>
      <c r="B786" s="23"/>
      <c r="C786" s="8"/>
      <c r="D786" s="25" t="s">
        <v>2385</v>
      </c>
      <c r="E786" s="12" t="s">
        <v>381</v>
      </c>
      <c r="F786" s="18" t="s">
        <v>1779</v>
      </c>
      <c r="G786" s="8">
        <f>69-1-1</f>
        <v>67</v>
      </c>
      <c r="H786" s="8"/>
      <c r="I786" s="8">
        <f>15+1+2</f>
        <v>18</v>
      </c>
      <c r="J786" s="8"/>
      <c r="K786" s="8">
        <f t="shared" si="72"/>
        <v>49</v>
      </c>
      <c r="L786" s="8"/>
      <c r="M786" s="9">
        <v>155</v>
      </c>
      <c r="N786" s="9">
        <f t="shared" si="73"/>
        <v>7595</v>
      </c>
      <c r="O786" s="9"/>
      <c r="P786" s="9"/>
      <c r="Q786" s="10" t="s">
        <v>297</v>
      </c>
    </row>
    <row r="787" spans="1:17" s="11" customFormat="1" ht="39.950000000000003" customHeight="1" x14ac:dyDescent="0.3">
      <c r="A787" s="18" t="s">
        <v>1477</v>
      </c>
      <c r="B787" s="23"/>
      <c r="C787" s="8"/>
      <c r="D787" s="25" t="s">
        <v>2385</v>
      </c>
      <c r="E787" s="12" t="s">
        <v>382</v>
      </c>
      <c r="F787" s="18" t="s">
        <v>1779</v>
      </c>
      <c r="G787" s="8">
        <v>67</v>
      </c>
      <c r="H787" s="8"/>
      <c r="I787" s="8">
        <f>1+1+2+2+1</f>
        <v>7</v>
      </c>
      <c r="J787" s="8"/>
      <c r="K787" s="8">
        <f t="shared" si="72"/>
        <v>60</v>
      </c>
      <c r="L787" s="8"/>
      <c r="M787" s="9">
        <v>155</v>
      </c>
      <c r="N787" s="9">
        <f t="shared" si="73"/>
        <v>9300</v>
      </c>
      <c r="O787" s="9"/>
      <c r="P787" s="9"/>
      <c r="Q787" s="10" t="s">
        <v>297</v>
      </c>
    </row>
    <row r="788" spans="1:17" s="11" customFormat="1" ht="39.950000000000003" customHeight="1" x14ac:dyDescent="0.3">
      <c r="A788" s="18" t="s">
        <v>1480</v>
      </c>
      <c r="B788" s="23"/>
      <c r="C788" s="8"/>
      <c r="D788" s="25"/>
      <c r="E788" s="12" t="s">
        <v>189</v>
      </c>
      <c r="F788" s="18" t="s">
        <v>1779</v>
      </c>
      <c r="G788" s="8">
        <v>2</v>
      </c>
      <c r="H788" s="8"/>
      <c r="I788" s="8"/>
      <c r="J788" s="8"/>
      <c r="K788" s="8">
        <f t="shared" si="72"/>
        <v>2</v>
      </c>
      <c r="L788" s="8"/>
      <c r="M788" s="9"/>
      <c r="N788" s="9">
        <f t="shared" si="73"/>
        <v>0</v>
      </c>
      <c r="O788" s="9"/>
      <c r="P788" s="9"/>
      <c r="Q788" s="10" t="s">
        <v>159</v>
      </c>
    </row>
    <row r="789" spans="1:17" s="11" customFormat="1" ht="39.950000000000003" customHeight="1" x14ac:dyDescent="0.3">
      <c r="A789" s="18" t="s">
        <v>1482</v>
      </c>
      <c r="B789" s="23" t="s">
        <v>1723</v>
      </c>
      <c r="C789" s="8"/>
      <c r="D789" s="24" t="s">
        <v>2389</v>
      </c>
      <c r="E789" s="12" t="s">
        <v>1729</v>
      </c>
      <c r="F789" s="18" t="s">
        <v>1779</v>
      </c>
      <c r="G789" s="8"/>
      <c r="H789" s="8">
        <v>3</v>
      </c>
      <c r="I789" s="8">
        <f>1+1+1</f>
        <v>3</v>
      </c>
      <c r="J789" s="8"/>
      <c r="K789" s="8">
        <f t="shared" si="72"/>
        <v>0</v>
      </c>
      <c r="L789" s="8"/>
      <c r="M789" s="9">
        <v>407.1</v>
      </c>
      <c r="N789" s="9">
        <f t="shared" si="73"/>
        <v>0</v>
      </c>
      <c r="O789" s="9"/>
      <c r="P789" s="9"/>
      <c r="Q789" s="10" t="s">
        <v>18</v>
      </c>
    </row>
    <row r="790" spans="1:17" s="11" customFormat="1" ht="20.25" x14ac:dyDescent="0.3">
      <c r="A790" s="18" t="s">
        <v>1483</v>
      </c>
      <c r="B790" s="23" t="s">
        <v>1971</v>
      </c>
      <c r="C790" s="8">
        <v>30</v>
      </c>
      <c r="D790" s="25" t="s">
        <v>2329</v>
      </c>
      <c r="E790" s="12" t="s">
        <v>1972</v>
      </c>
      <c r="F790" s="18" t="s">
        <v>1779</v>
      </c>
      <c r="G790" s="8"/>
      <c r="H790" s="8">
        <v>6</v>
      </c>
      <c r="I790" s="8">
        <v>6</v>
      </c>
      <c r="J790" s="8"/>
      <c r="K790" s="8">
        <f>+G790+H790-I790+J790</f>
        <v>0</v>
      </c>
      <c r="L790" s="8"/>
      <c r="M790" s="9">
        <v>300</v>
      </c>
      <c r="N790" s="9">
        <f t="shared" si="73"/>
        <v>0</v>
      </c>
      <c r="O790" s="9"/>
      <c r="P790" s="9"/>
      <c r="Q790" s="10" t="s">
        <v>1479</v>
      </c>
    </row>
    <row r="791" spans="1:17" s="11" customFormat="1" ht="20.25" x14ac:dyDescent="0.3">
      <c r="A791" s="18" t="s">
        <v>1484</v>
      </c>
      <c r="B791" s="19">
        <v>45783</v>
      </c>
      <c r="C791" s="20"/>
      <c r="D791" s="53" t="s">
        <v>2329</v>
      </c>
      <c r="E791" s="12" t="s">
        <v>2504</v>
      </c>
      <c r="F791" s="21" t="s">
        <v>2496</v>
      </c>
      <c r="G791" s="8"/>
      <c r="H791" s="8">
        <v>25</v>
      </c>
      <c r="I791" s="8"/>
      <c r="J791" s="8"/>
      <c r="K791" s="8">
        <f>+G791+H791-I791+J791</f>
        <v>25</v>
      </c>
      <c r="L791" s="8"/>
      <c r="M791" s="9">
        <v>271.39999999999998</v>
      </c>
      <c r="N791" s="9">
        <f t="shared" si="73"/>
        <v>6784.9999999999991</v>
      </c>
      <c r="O791" s="9"/>
      <c r="P791" s="9"/>
      <c r="Q791" s="10" t="s">
        <v>25</v>
      </c>
    </row>
    <row r="792" spans="1:17" s="11" customFormat="1" ht="20.25" x14ac:dyDescent="0.3">
      <c r="A792" s="18" t="s">
        <v>1485</v>
      </c>
      <c r="B792" s="23"/>
      <c r="C792" s="8"/>
      <c r="D792" s="25" t="s">
        <v>2385</v>
      </c>
      <c r="E792" s="12" t="s">
        <v>424</v>
      </c>
      <c r="F792" s="18" t="s">
        <v>1779</v>
      </c>
      <c r="G792" s="8">
        <v>11</v>
      </c>
      <c r="H792" s="8"/>
      <c r="I792" s="8">
        <f>1+1+1+1+1+1+1+1</f>
        <v>8</v>
      </c>
      <c r="J792" s="8"/>
      <c r="K792" s="8">
        <f>+G792+H792+-I792</f>
        <v>3</v>
      </c>
      <c r="L792" s="8"/>
      <c r="M792" s="9">
        <v>206.54</v>
      </c>
      <c r="N792" s="9">
        <f t="shared" si="73"/>
        <v>619.62</v>
      </c>
      <c r="O792" s="9"/>
      <c r="P792" s="9"/>
      <c r="Q792" s="10" t="s">
        <v>297</v>
      </c>
    </row>
    <row r="793" spans="1:17" s="11" customFormat="1" ht="20.25" x14ac:dyDescent="0.3">
      <c r="A793" s="18" t="s">
        <v>1486</v>
      </c>
      <c r="B793" s="23">
        <v>45300</v>
      </c>
      <c r="C793" s="8">
        <v>10</v>
      </c>
      <c r="D793" s="25" t="s">
        <v>2385</v>
      </c>
      <c r="E793" s="12" t="s">
        <v>383</v>
      </c>
      <c r="F793" s="18" t="s">
        <v>1779</v>
      </c>
      <c r="G793" s="8">
        <v>6</v>
      </c>
      <c r="H793" s="8"/>
      <c r="I793" s="8">
        <v>1</v>
      </c>
      <c r="J793" s="8"/>
      <c r="K793" s="8">
        <f>+G793+H793+-I793</f>
        <v>5</v>
      </c>
      <c r="L793" s="8"/>
      <c r="M793" s="9">
        <v>55</v>
      </c>
      <c r="N793" s="9">
        <f t="shared" si="73"/>
        <v>275</v>
      </c>
      <c r="O793" s="9"/>
      <c r="P793" s="9"/>
      <c r="Q793" s="10" t="s">
        <v>297</v>
      </c>
    </row>
    <row r="794" spans="1:17" s="11" customFormat="1" ht="40.5" x14ac:dyDescent="0.3">
      <c r="A794" s="18" t="s">
        <v>1487</v>
      </c>
      <c r="B794" s="23" t="s">
        <v>241</v>
      </c>
      <c r="C794" s="8">
        <v>10</v>
      </c>
      <c r="D794" s="25" t="s">
        <v>2385</v>
      </c>
      <c r="E794" s="12" t="s">
        <v>384</v>
      </c>
      <c r="F794" s="18" t="s">
        <v>1779</v>
      </c>
      <c r="G794" s="8">
        <v>84</v>
      </c>
      <c r="H794" s="8"/>
      <c r="I794" s="8"/>
      <c r="J794" s="8"/>
      <c r="K794" s="8">
        <f>+G794+H794+-I794</f>
        <v>84</v>
      </c>
      <c r="L794" s="8"/>
      <c r="M794" s="9"/>
      <c r="N794" s="9">
        <f t="shared" si="73"/>
        <v>0</v>
      </c>
      <c r="O794" s="9"/>
      <c r="P794" s="9"/>
      <c r="Q794" s="10" t="s">
        <v>297</v>
      </c>
    </row>
    <row r="795" spans="1:17" s="11" customFormat="1" ht="40.5" x14ac:dyDescent="0.3">
      <c r="A795" s="18" t="s">
        <v>1488</v>
      </c>
      <c r="B795" s="23">
        <v>45797</v>
      </c>
      <c r="C795" s="8">
        <v>10</v>
      </c>
      <c r="D795" s="25" t="s">
        <v>2390</v>
      </c>
      <c r="E795" s="12" t="s">
        <v>1843</v>
      </c>
      <c r="F795" s="18" t="s">
        <v>1777</v>
      </c>
      <c r="G795" s="8"/>
      <c r="H795" s="8">
        <v>5</v>
      </c>
      <c r="I795" s="8"/>
      <c r="J795" s="8">
        <v>0</v>
      </c>
      <c r="K795" s="8">
        <f>+G795+H795-I795+J795</f>
        <v>5</v>
      </c>
      <c r="L795" s="8"/>
      <c r="M795" s="9">
        <v>2617</v>
      </c>
      <c r="N795" s="9">
        <f>+L795*M795</f>
        <v>0</v>
      </c>
      <c r="O795" s="9"/>
      <c r="P795" s="9"/>
      <c r="Q795" s="10" t="s">
        <v>1648</v>
      </c>
    </row>
    <row r="796" spans="1:17" s="11" customFormat="1" ht="20.25" x14ac:dyDescent="0.3">
      <c r="A796" s="18" t="s">
        <v>1489</v>
      </c>
      <c r="B796" s="23" t="s">
        <v>241</v>
      </c>
      <c r="C796" s="8">
        <v>10</v>
      </c>
      <c r="D796" s="25" t="s">
        <v>2385</v>
      </c>
      <c r="E796" s="12" t="s">
        <v>1245</v>
      </c>
      <c r="F796" s="18" t="s">
        <v>1779</v>
      </c>
      <c r="G796" s="8">
        <v>73</v>
      </c>
      <c r="H796" s="8"/>
      <c r="I796" s="8"/>
      <c r="J796" s="8"/>
      <c r="K796" s="8">
        <f>+G796+H796+-I796</f>
        <v>73</v>
      </c>
      <c r="L796" s="8"/>
      <c r="M796" s="9">
        <v>1666</v>
      </c>
      <c r="N796" s="9">
        <f t="shared" ref="N796:N802" si="74">+K796*M796</f>
        <v>121618</v>
      </c>
      <c r="O796" s="9"/>
      <c r="P796" s="9"/>
      <c r="Q796" s="10" t="s">
        <v>297</v>
      </c>
    </row>
    <row r="797" spans="1:17" s="11" customFormat="1" ht="40.5" x14ac:dyDescent="0.3">
      <c r="A797" s="18" t="s">
        <v>1503</v>
      </c>
      <c r="B797" s="23"/>
      <c r="C797" s="8"/>
      <c r="D797" s="25" t="s">
        <v>2385</v>
      </c>
      <c r="E797" s="12" t="s">
        <v>385</v>
      </c>
      <c r="F797" s="18" t="s">
        <v>1779</v>
      </c>
      <c r="G797" s="8">
        <v>10</v>
      </c>
      <c r="H797" s="8"/>
      <c r="I797" s="8">
        <v>3</v>
      </c>
      <c r="J797" s="8"/>
      <c r="K797" s="8">
        <f>+G797+H797+-I797</f>
        <v>7</v>
      </c>
      <c r="L797" s="8"/>
      <c r="M797" s="9"/>
      <c r="N797" s="9">
        <f t="shared" si="74"/>
        <v>0</v>
      </c>
      <c r="O797" s="9"/>
      <c r="P797" s="9"/>
      <c r="Q797" s="10" t="s">
        <v>297</v>
      </c>
    </row>
    <row r="798" spans="1:17" s="11" customFormat="1" ht="20.25" x14ac:dyDescent="0.3">
      <c r="A798" s="18" t="s">
        <v>1504</v>
      </c>
      <c r="B798" s="23"/>
      <c r="C798" s="8"/>
      <c r="D798" s="25" t="s">
        <v>2385</v>
      </c>
      <c r="E798" s="12" t="s">
        <v>386</v>
      </c>
      <c r="F798" s="18" t="s">
        <v>1779</v>
      </c>
      <c r="G798" s="8">
        <v>50</v>
      </c>
      <c r="H798" s="8"/>
      <c r="I798" s="8">
        <v>25</v>
      </c>
      <c r="J798" s="8"/>
      <c r="K798" s="8">
        <f>+G798+H798+-I798</f>
        <v>25</v>
      </c>
      <c r="L798" s="8"/>
      <c r="M798" s="9">
        <v>740</v>
      </c>
      <c r="N798" s="9">
        <f t="shared" si="74"/>
        <v>18500</v>
      </c>
      <c r="O798" s="9"/>
      <c r="P798" s="9"/>
      <c r="Q798" s="10" t="s">
        <v>297</v>
      </c>
    </row>
    <row r="799" spans="1:17" s="11" customFormat="1" ht="20.25" x14ac:dyDescent="0.3">
      <c r="A799" s="18" t="s">
        <v>1505</v>
      </c>
      <c r="B799" s="23">
        <v>45499</v>
      </c>
      <c r="C799" s="8">
        <v>10</v>
      </c>
      <c r="D799" s="25" t="s">
        <v>2434</v>
      </c>
      <c r="E799" s="12" t="s">
        <v>1177</v>
      </c>
      <c r="F799" s="18" t="s">
        <v>1779</v>
      </c>
      <c r="G799" s="8">
        <f>14-1-5-1</f>
        <v>7</v>
      </c>
      <c r="H799" s="8">
        <v>60</v>
      </c>
      <c r="I799" s="8">
        <f>3+1+2+1+2+4+2+1+1+5</f>
        <v>22</v>
      </c>
      <c r="J799" s="8"/>
      <c r="K799" s="8">
        <f>+G799+H799+-I799</f>
        <v>45</v>
      </c>
      <c r="L799" s="8"/>
      <c r="M799" s="9">
        <v>510.66</v>
      </c>
      <c r="N799" s="9">
        <f t="shared" si="74"/>
        <v>22979.7</v>
      </c>
      <c r="O799" s="9"/>
      <c r="P799" s="9"/>
      <c r="Q799" s="10" t="s">
        <v>209</v>
      </c>
    </row>
    <row r="800" spans="1:17" s="11" customFormat="1" ht="20.25" x14ac:dyDescent="0.3">
      <c r="A800" s="18" t="s">
        <v>1506</v>
      </c>
      <c r="B800" s="23">
        <v>45499</v>
      </c>
      <c r="C800" s="8"/>
      <c r="D800" s="25" t="s">
        <v>2438</v>
      </c>
      <c r="E800" s="12" t="s">
        <v>13</v>
      </c>
      <c r="F800" s="18" t="s">
        <v>1779</v>
      </c>
      <c r="G800" s="8">
        <v>2</v>
      </c>
      <c r="H800" s="8"/>
      <c r="I800" s="8"/>
      <c r="J800" s="8"/>
      <c r="K800" s="8">
        <f>+G800+H800-I800</f>
        <v>2</v>
      </c>
      <c r="L800" s="8"/>
      <c r="M800" s="9">
        <v>426</v>
      </c>
      <c r="N800" s="9">
        <f t="shared" si="74"/>
        <v>852</v>
      </c>
      <c r="O800" s="9"/>
      <c r="P800" s="9"/>
      <c r="Q800" s="10" t="s">
        <v>6</v>
      </c>
    </row>
    <row r="801" spans="1:17" s="11" customFormat="1" ht="20.25" x14ac:dyDescent="0.3">
      <c r="A801" s="18" t="s">
        <v>1507</v>
      </c>
      <c r="B801" s="23">
        <v>45499</v>
      </c>
      <c r="C801" s="8">
        <v>10</v>
      </c>
      <c r="D801" s="25" t="s">
        <v>2385</v>
      </c>
      <c r="E801" s="12" t="s">
        <v>387</v>
      </c>
      <c r="F801" s="18" t="s">
        <v>1779</v>
      </c>
      <c r="G801" s="8">
        <v>6</v>
      </c>
      <c r="H801" s="8"/>
      <c r="I801" s="8">
        <v>1</v>
      </c>
      <c r="J801" s="8"/>
      <c r="K801" s="8">
        <f>+G801+H801+-I801</f>
        <v>5</v>
      </c>
      <c r="L801" s="8"/>
      <c r="M801" s="9">
        <v>208.86</v>
      </c>
      <c r="N801" s="9">
        <f t="shared" si="74"/>
        <v>1044.3000000000002</v>
      </c>
      <c r="O801" s="9"/>
      <c r="P801" s="9"/>
      <c r="Q801" s="10" t="s">
        <v>297</v>
      </c>
    </row>
    <row r="802" spans="1:17" s="11" customFormat="1" ht="20.25" x14ac:dyDescent="0.3">
      <c r="A802" s="18" t="s">
        <v>1508</v>
      </c>
      <c r="B802" s="23">
        <v>44193</v>
      </c>
      <c r="C802" s="8"/>
      <c r="D802" s="25"/>
      <c r="E802" s="12" t="s">
        <v>466</v>
      </c>
      <c r="F802" s="18" t="s">
        <v>1779</v>
      </c>
      <c r="G802" s="8">
        <v>2</v>
      </c>
      <c r="H802" s="8"/>
      <c r="I802" s="8"/>
      <c r="J802" s="8"/>
      <c r="K802" s="8">
        <f>+G802+H802+-I802</f>
        <v>2</v>
      </c>
      <c r="L802" s="8"/>
      <c r="M802" s="9">
        <v>81.540000000000006</v>
      </c>
      <c r="N802" s="9">
        <f t="shared" si="74"/>
        <v>163.08000000000001</v>
      </c>
      <c r="O802" s="9"/>
      <c r="P802" s="9"/>
      <c r="Q802" s="10" t="s">
        <v>433</v>
      </c>
    </row>
    <row r="803" spans="1:17" s="11" customFormat="1" ht="20.25" x14ac:dyDescent="0.3">
      <c r="A803" s="18" t="s">
        <v>1509</v>
      </c>
      <c r="B803" s="19">
        <v>45813</v>
      </c>
      <c r="C803" s="20">
        <v>10</v>
      </c>
      <c r="D803" s="53" t="s">
        <v>2468</v>
      </c>
      <c r="E803" s="12" t="s">
        <v>2225</v>
      </c>
      <c r="F803" s="21" t="s">
        <v>1779</v>
      </c>
      <c r="G803" s="8"/>
      <c r="H803" s="8">
        <v>25</v>
      </c>
      <c r="I803" s="8">
        <v>25</v>
      </c>
      <c r="J803" s="8"/>
      <c r="K803" s="8">
        <f>+G803+H803-I803+J803</f>
        <v>0</v>
      </c>
      <c r="L803" s="8"/>
      <c r="M803" s="9">
        <v>487</v>
      </c>
      <c r="N803" s="9"/>
      <c r="O803" s="9"/>
      <c r="P803" s="9"/>
      <c r="Q803" s="10" t="s">
        <v>1321</v>
      </c>
    </row>
    <row r="804" spans="1:17" s="11" customFormat="1" ht="20.25" x14ac:dyDescent="0.3">
      <c r="A804" s="18" t="s">
        <v>1517</v>
      </c>
      <c r="B804" s="19">
        <v>45813</v>
      </c>
      <c r="C804" s="20">
        <v>10</v>
      </c>
      <c r="D804" s="53" t="s">
        <v>2468</v>
      </c>
      <c r="E804" s="12" t="s">
        <v>2226</v>
      </c>
      <c r="F804" s="21" t="s">
        <v>1779</v>
      </c>
      <c r="G804" s="8"/>
      <c r="H804" s="8">
        <v>25</v>
      </c>
      <c r="I804" s="8">
        <v>25</v>
      </c>
      <c r="J804" s="8"/>
      <c r="K804" s="8">
        <f>+G804+H804-I804+J804</f>
        <v>0</v>
      </c>
      <c r="L804" s="8"/>
      <c r="M804" s="9">
        <v>651</v>
      </c>
      <c r="N804" s="9"/>
      <c r="O804" s="9"/>
      <c r="P804" s="9"/>
      <c r="Q804" s="10" t="s">
        <v>1321</v>
      </c>
    </row>
    <row r="805" spans="1:17" s="11" customFormat="1" ht="40.5" x14ac:dyDescent="0.3">
      <c r="A805" s="18" t="s">
        <v>1518</v>
      </c>
      <c r="B805" s="23" t="s">
        <v>1736</v>
      </c>
      <c r="C805" s="8"/>
      <c r="D805" s="25"/>
      <c r="E805" s="12" t="s">
        <v>1739</v>
      </c>
      <c r="F805" s="18" t="s">
        <v>1779</v>
      </c>
      <c r="G805" s="8"/>
      <c r="H805" s="8">
        <v>210</v>
      </c>
      <c r="I805" s="8">
        <v>10</v>
      </c>
      <c r="J805" s="8">
        <v>0</v>
      </c>
      <c r="K805" s="8">
        <f>+G805+H805-I805+J805</f>
        <v>200</v>
      </c>
      <c r="L805" s="8"/>
      <c r="M805" s="9"/>
      <c r="N805" s="9"/>
      <c r="O805" s="9"/>
      <c r="P805" s="9"/>
      <c r="Q805" s="10" t="s">
        <v>1887</v>
      </c>
    </row>
    <row r="806" spans="1:17" s="11" customFormat="1" ht="40.5" x14ac:dyDescent="0.3">
      <c r="A806" s="18" t="s">
        <v>1519</v>
      </c>
      <c r="B806" s="23" t="s">
        <v>1736</v>
      </c>
      <c r="C806" s="8"/>
      <c r="D806" s="25"/>
      <c r="E806" s="12" t="s">
        <v>1740</v>
      </c>
      <c r="F806" s="18" t="s">
        <v>1779</v>
      </c>
      <c r="G806" s="8"/>
      <c r="H806" s="8">
        <v>10</v>
      </c>
      <c r="I806" s="8">
        <v>10</v>
      </c>
      <c r="J806" s="8">
        <f>+G806+H806-I806</f>
        <v>0</v>
      </c>
      <c r="K806" s="8">
        <f>+G806+H806-I806+J806</f>
        <v>0</v>
      </c>
      <c r="L806" s="8"/>
      <c r="M806" s="9"/>
      <c r="N806" s="9"/>
      <c r="O806" s="9"/>
      <c r="P806" s="9"/>
      <c r="Q806" s="10" t="s">
        <v>1887</v>
      </c>
    </row>
    <row r="807" spans="1:17" s="11" customFormat="1" ht="20.25" customHeight="1" x14ac:dyDescent="0.3">
      <c r="A807" s="18" t="s">
        <v>1520</v>
      </c>
      <c r="B807" s="23" t="s">
        <v>4</v>
      </c>
      <c r="C807" s="8"/>
      <c r="D807" s="25" t="s">
        <v>2386</v>
      </c>
      <c r="E807" s="12" t="s">
        <v>427</v>
      </c>
      <c r="F807" s="18" t="s">
        <v>1779</v>
      </c>
      <c r="G807" s="8">
        <v>17</v>
      </c>
      <c r="H807" s="8"/>
      <c r="I807" s="8"/>
      <c r="J807" s="8"/>
      <c r="K807" s="8">
        <f>+G807+H807+-I807</f>
        <v>17</v>
      </c>
      <c r="L807" s="8"/>
      <c r="M807" s="9"/>
      <c r="N807" s="9">
        <f t="shared" ref="N807:N815" si="75">+K807*M807</f>
        <v>0</v>
      </c>
      <c r="O807" s="9"/>
      <c r="P807" s="9"/>
      <c r="Q807" s="10" t="s">
        <v>297</v>
      </c>
    </row>
    <row r="808" spans="1:17" s="11" customFormat="1" ht="20.25" customHeight="1" x14ac:dyDescent="0.3">
      <c r="A808" s="18" t="s">
        <v>1523</v>
      </c>
      <c r="B808" s="23">
        <v>44193</v>
      </c>
      <c r="C808" s="8"/>
      <c r="D808" s="53" t="s">
        <v>2394</v>
      </c>
      <c r="E808" s="12" t="s">
        <v>88</v>
      </c>
      <c r="F808" s="18" t="s">
        <v>1779</v>
      </c>
      <c r="G808" s="8">
        <v>11</v>
      </c>
      <c r="H808" s="8"/>
      <c r="I808" s="8"/>
      <c r="J808" s="8"/>
      <c r="K808" s="8">
        <f>+G808+H808-I808</f>
        <v>11</v>
      </c>
      <c r="L808" s="8"/>
      <c r="M808" s="9"/>
      <c r="N808" s="9">
        <f t="shared" si="75"/>
        <v>0</v>
      </c>
      <c r="O808" s="9"/>
      <c r="P808" s="9"/>
      <c r="Q808" s="10" t="s">
        <v>25</v>
      </c>
    </row>
    <row r="809" spans="1:17" s="11" customFormat="1" ht="39.950000000000003" customHeight="1" x14ac:dyDescent="0.3">
      <c r="A809" s="18" t="s">
        <v>1524</v>
      </c>
      <c r="B809" s="23">
        <v>45814</v>
      </c>
      <c r="C809" s="8">
        <v>30</v>
      </c>
      <c r="D809" s="25" t="s">
        <v>2318</v>
      </c>
      <c r="E809" s="12" t="s">
        <v>1423</v>
      </c>
      <c r="F809" s="18" t="s">
        <v>1779</v>
      </c>
      <c r="G809" s="8"/>
      <c r="H809" s="8">
        <f>5+2</f>
        <v>7</v>
      </c>
      <c r="I809" s="8">
        <f>1+1+1</f>
        <v>3</v>
      </c>
      <c r="J809" s="8"/>
      <c r="K809" s="8">
        <f>+G809+H809-I809+J809</f>
        <v>4</v>
      </c>
      <c r="L809" s="8"/>
      <c r="M809" s="9">
        <v>1436</v>
      </c>
      <c r="N809" s="9">
        <f t="shared" si="75"/>
        <v>5744</v>
      </c>
      <c r="O809" s="9"/>
      <c r="P809" s="9"/>
      <c r="Q809" s="10" t="s">
        <v>1321</v>
      </c>
    </row>
    <row r="810" spans="1:17" s="11" customFormat="1" ht="39.950000000000003" customHeight="1" x14ac:dyDescent="0.3">
      <c r="A810" s="18" t="s">
        <v>1525</v>
      </c>
      <c r="B810" s="23">
        <v>45469</v>
      </c>
      <c r="C810" s="8"/>
      <c r="D810" s="25"/>
      <c r="E810" s="12" t="s">
        <v>1419</v>
      </c>
      <c r="F810" s="18" t="s">
        <v>1779</v>
      </c>
      <c r="G810" s="8"/>
      <c r="H810" s="8">
        <v>2</v>
      </c>
      <c r="I810" s="8"/>
      <c r="J810" s="8"/>
      <c r="K810" s="8">
        <f>+G810+H810-I810+J810</f>
        <v>2</v>
      </c>
      <c r="L810" s="8"/>
      <c r="M810" s="9">
        <v>495.6</v>
      </c>
      <c r="N810" s="9">
        <f t="shared" si="75"/>
        <v>991.2</v>
      </c>
      <c r="O810" s="9"/>
      <c r="P810" s="9"/>
      <c r="Q810" s="10" t="s">
        <v>1321</v>
      </c>
    </row>
    <row r="811" spans="1:17" s="11" customFormat="1" ht="40.5" x14ac:dyDescent="0.3">
      <c r="A811" s="18" t="s">
        <v>1526</v>
      </c>
      <c r="B811" s="23" t="s">
        <v>4</v>
      </c>
      <c r="C811" s="8"/>
      <c r="D811" s="25" t="s">
        <v>2438</v>
      </c>
      <c r="E811" s="12" t="s">
        <v>275</v>
      </c>
      <c r="F811" s="18" t="s">
        <v>1779</v>
      </c>
      <c r="G811" s="8">
        <f>80+14+40-3-2-3</f>
        <v>126</v>
      </c>
      <c r="H811" s="8">
        <v>130</v>
      </c>
      <c r="I811" s="8">
        <f>197+5</f>
        <v>202</v>
      </c>
      <c r="J811" s="8"/>
      <c r="K811" s="8">
        <f>+G811+H811+-I811</f>
        <v>54</v>
      </c>
      <c r="L811" s="8"/>
      <c r="M811" s="9">
        <v>42.48</v>
      </c>
      <c r="N811" s="9">
        <f t="shared" si="75"/>
        <v>2293.9199999999996</v>
      </c>
      <c r="O811" s="9"/>
      <c r="P811" s="9"/>
      <c r="Q811" s="10" t="s">
        <v>235</v>
      </c>
    </row>
    <row r="812" spans="1:17" s="11" customFormat="1" ht="39.950000000000003" customHeight="1" x14ac:dyDescent="0.3">
      <c r="A812" s="18" t="s">
        <v>1527</v>
      </c>
      <c r="B812" s="23" t="s">
        <v>4</v>
      </c>
      <c r="C812" s="8"/>
      <c r="D812" s="25" t="s">
        <v>2438</v>
      </c>
      <c r="E812" s="12" t="s">
        <v>276</v>
      </c>
      <c r="F812" s="18" t="s">
        <v>1779</v>
      </c>
      <c r="G812" s="8">
        <v>32</v>
      </c>
      <c r="H812" s="8">
        <v>93</v>
      </c>
      <c r="I812" s="8">
        <f>1+6+4+4</f>
        <v>15</v>
      </c>
      <c r="J812" s="8"/>
      <c r="K812" s="8">
        <f>+G812+H812+-I812</f>
        <v>110</v>
      </c>
      <c r="L812" s="8"/>
      <c r="M812" s="9">
        <v>42.48</v>
      </c>
      <c r="N812" s="9">
        <f t="shared" si="75"/>
        <v>4672.7999999999993</v>
      </c>
      <c r="O812" s="9"/>
      <c r="P812" s="9"/>
      <c r="Q812" s="10" t="s">
        <v>235</v>
      </c>
    </row>
    <row r="813" spans="1:17" s="11" customFormat="1" ht="39.950000000000003" customHeight="1" x14ac:dyDescent="0.3">
      <c r="A813" s="18" t="s">
        <v>1528</v>
      </c>
      <c r="B813" s="23" t="s">
        <v>4</v>
      </c>
      <c r="C813" s="8"/>
      <c r="D813" s="25" t="s">
        <v>2438</v>
      </c>
      <c r="E813" s="12" t="s">
        <v>277</v>
      </c>
      <c r="F813" s="18" t="s">
        <v>1779</v>
      </c>
      <c r="G813" s="8">
        <v>107</v>
      </c>
      <c r="H813" s="8"/>
      <c r="I813" s="8">
        <f>20+4+4+5+7+2+10+10+10+4+3</f>
        <v>79</v>
      </c>
      <c r="J813" s="8"/>
      <c r="K813" s="8">
        <f>+G813+H813+-I813</f>
        <v>28</v>
      </c>
      <c r="L813" s="8"/>
      <c r="M813" s="9">
        <v>42.48</v>
      </c>
      <c r="N813" s="9">
        <f t="shared" si="75"/>
        <v>1189.4399999999998</v>
      </c>
      <c r="O813" s="9"/>
      <c r="P813" s="9"/>
      <c r="Q813" s="10" t="s">
        <v>235</v>
      </c>
    </row>
    <row r="814" spans="1:17" s="11" customFormat="1" ht="39.950000000000003" customHeight="1" x14ac:dyDescent="0.3">
      <c r="A814" s="18" t="s">
        <v>1534</v>
      </c>
      <c r="B814" s="23" t="s">
        <v>4</v>
      </c>
      <c r="C814" s="8"/>
      <c r="D814" s="25" t="s">
        <v>2438</v>
      </c>
      <c r="E814" s="12" t="s">
        <v>278</v>
      </c>
      <c r="F814" s="18" t="s">
        <v>1779</v>
      </c>
      <c r="G814" s="8">
        <f>24+40</f>
        <v>64</v>
      </c>
      <c r="H814" s="8">
        <v>71</v>
      </c>
      <c r="I814" s="8">
        <f>4+6+4+1+15+2+5+15+13+4+8+15+3+10+2+15+4+5+4</f>
        <v>135</v>
      </c>
      <c r="J814" s="8"/>
      <c r="K814" s="8">
        <f>+G814+H814+-I814</f>
        <v>0</v>
      </c>
      <c r="L814" s="8"/>
      <c r="M814" s="9">
        <v>42.48</v>
      </c>
      <c r="N814" s="9">
        <f t="shared" si="75"/>
        <v>0</v>
      </c>
      <c r="O814" s="9"/>
      <c r="P814" s="9"/>
      <c r="Q814" s="10" t="s">
        <v>235</v>
      </c>
    </row>
    <row r="815" spans="1:17" s="11" customFormat="1" ht="39.950000000000003" customHeight="1" x14ac:dyDescent="0.3">
      <c r="A815" s="18" t="s">
        <v>1539</v>
      </c>
      <c r="B815" s="23"/>
      <c r="C815" s="8"/>
      <c r="D815" s="25" t="s">
        <v>2438</v>
      </c>
      <c r="E815" s="12" t="s">
        <v>1529</v>
      </c>
      <c r="F815" s="18" t="s">
        <v>1779</v>
      </c>
      <c r="G815" s="8"/>
      <c r="H815" s="8">
        <v>480</v>
      </c>
      <c r="I815" s="8">
        <f>11+4+4+10+4+4+12+15+4+10+15+4+12+15+4+4+15+4+15+4+310</f>
        <v>480</v>
      </c>
      <c r="J815" s="8"/>
      <c r="K815" s="8">
        <f>+G815+H815-I815+J815</f>
        <v>0</v>
      </c>
      <c r="L815" s="8"/>
      <c r="M815" s="9">
        <v>45.311999999999998</v>
      </c>
      <c r="N815" s="9">
        <f t="shared" si="75"/>
        <v>0</v>
      </c>
      <c r="O815" s="9"/>
      <c r="P815" s="9"/>
      <c r="Q815" s="10" t="s">
        <v>235</v>
      </c>
    </row>
    <row r="816" spans="1:17" s="11" customFormat="1" ht="39.950000000000003" customHeight="1" x14ac:dyDescent="0.3">
      <c r="A816" s="18" t="s">
        <v>1544</v>
      </c>
      <c r="B816" s="23" t="s">
        <v>1581</v>
      </c>
      <c r="C816" s="8"/>
      <c r="D816" s="25" t="s">
        <v>2442</v>
      </c>
      <c r="E816" s="12" t="s">
        <v>1707</v>
      </c>
      <c r="F816" s="18" t="s">
        <v>1779</v>
      </c>
      <c r="G816" s="8"/>
      <c r="H816" s="8">
        <v>10</v>
      </c>
      <c r="I816" s="8"/>
      <c r="J816" s="8">
        <v>0</v>
      </c>
      <c r="K816" s="8">
        <f>+G816+H816-I816+J816</f>
        <v>10</v>
      </c>
      <c r="L816" s="8"/>
      <c r="M816" s="9">
        <v>2828.46</v>
      </c>
      <c r="N816" s="9">
        <f>+L816*M816</f>
        <v>0</v>
      </c>
      <c r="O816" s="9"/>
      <c r="P816" s="9"/>
      <c r="Q816" s="10" t="s">
        <v>1887</v>
      </c>
    </row>
    <row r="817" spans="1:17" s="11" customFormat="1" ht="39.950000000000003" customHeight="1" x14ac:dyDescent="0.3">
      <c r="A817" s="18" t="s">
        <v>1553</v>
      </c>
      <c r="B817" s="23"/>
      <c r="C817" s="8"/>
      <c r="D817" s="53" t="s">
        <v>2394</v>
      </c>
      <c r="E817" s="17" t="s">
        <v>2391</v>
      </c>
      <c r="F817" s="18" t="s">
        <v>1779</v>
      </c>
      <c r="G817" s="8">
        <v>110</v>
      </c>
      <c r="H817" s="8"/>
      <c r="I817" s="8">
        <f>3+4+10+12+8+2+2</f>
        <v>41</v>
      </c>
      <c r="J817" s="8"/>
      <c r="K817" s="8">
        <f>+G817+H817-I817</f>
        <v>69</v>
      </c>
      <c r="L817" s="8"/>
      <c r="M817" s="9">
        <v>61.51</v>
      </c>
      <c r="N817" s="9">
        <f>+K817*M817</f>
        <v>4244.1899999999996</v>
      </c>
      <c r="O817" s="9"/>
      <c r="P817" s="9"/>
      <c r="Q817" s="10" t="s">
        <v>25</v>
      </c>
    </row>
    <row r="818" spans="1:17" s="11" customFormat="1" ht="39.950000000000003" customHeight="1" x14ac:dyDescent="0.3">
      <c r="A818" s="18" t="s">
        <v>1575</v>
      </c>
      <c r="B818" s="23"/>
      <c r="C818" s="8"/>
      <c r="D818" s="53" t="s">
        <v>2394</v>
      </c>
      <c r="E818" s="17" t="s">
        <v>2392</v>
      </c>
      <c r="F818" s="18" t="s">
        <v>1779</v>
      </c>
      <c r="G818" s="8">
        <f>102-2-4</f>
        <v>96</v>
      </c>
      <c r="H818" s="8"/>
      <c r="I818" s="8">
        <f>6+4+3+2+6+2</f>
        <v>23</v>
      </c>
      <c r="J818" s="8"/>
      <c r="K818" s="8">
        <f>+G818+H818-I818</f>
        <v>73</v>
      </c>
      <c r="L818" s="8"/>
      <c r="M818" s="9">
        <v>61</v>
      </c>
      <c r="N818" s="9">
        <f>+K818*M818</f>
        <v>4453</v>
      </c>
      <c r="O818" s="9"/>
      <c r="P818" s="9"/>
      <c r="Q818" s="10" t="s">
        <v>25</v>
      </c>
    </row>
    <row r="819" spans="1:17" s="11" customFormat="1" ht="39.950000000000003" customHeight="1" x14ac:dyDescent="0.3">
      <c r="A819" s="18" t="s">
        <v>1576</v>
      </c>
      <c r="B819" s="23">
        <v>44193</v>
      </c>
      <c r="C819" s="8"/>
      <c r="D819" s="53" t="s">
        <v>2394</v>
      </c>
      <c r="E819" s="17" t="s">
        <v>2393</v>
      </c>
      <c r="F819" s="18" t="s">
        <v>1779</v>
      </c>
      <c r="G819" s="8">
        <v>24</v>
      </c>
      <c r="H819" s="8"/>
      <c r="I819" s="8"/>
      <c r="J819" s="8"/>
      <c r="K819" s="8">
        <f>+G819+H819-I819</f>
        <v>24</v>
      </c>
      <c r="L819" s="8"/>
      <c r="M819" s="9">
        <v>67</v>
      </c>
      <c r="N819" s="9">
        <f>+K819*M819</f>
        <v>1608</v>
      </c>
      <c r="O819" s="9"/>
      <c r="P819" s="9"/>
      <c r="Q819" s="10" t="s">
        <v>25</v>
      </c>
    </row>
    <row r="820" spans="1:17" s="11" customFormat="1" ht="39.950000000000003" customHeight="1" x14ac:dyDescent="0.3">
      <c r="A820" s="18" t="s">
        <v>1578</v>
      </c>
      <c r="B820" s="23"/>
      <c r="C820" s="8"/>
      <c r="D820" s="25" t="s">
        <v>2318</v>
      </c>
      <c r="E820" s="12" t="s">
        <v>190</v>
      </c>
      <c r="F820" s="18" t="s">
        <v>1779</v>
      </c>
      <c r="G820" s="8">
        <v>1</v>
      </c>
      <c r="H820" s="8"/>
      <c r="I820" s="8"/>
      <c r="J820" s="8"/>
      <c r="K820" s="8">
        <f>+G820+H820+-I820</f>
        <v>1</v>
      </c>
      <c r="L820" s="8"/>
      <c r="M820" s="9">
        <v>269</v>
      </c>
      <c r="N820" s="9">
        <f>+K820*M820</f>
        <v>269</v>
      </c>
      <c r="O820" s="9"/>
      <c r="P820" s="9"/>
      <c r="Q820" s="10" t="s">
        <v>159</v>
      </c>
    </row>
    <row r="821" spans="1:17" s="11" customFormat="1" ht="39.950000000000003" customHeight="1" x14ac:dyDescent="0.3">
      <c r="A821" s="18" t="s">
        <v>1579</v>
      </c>
      <c r="B821" s="23">
        <v>44193</v>
      </c>
      <c r="C821" s="8"/>
      <c r="D821" s="25" t="s">
        <v>2326</v>
      </c>
      <c r="E821" s="12" t="s">
        <v>1287</v>
      </c>
      <c r="F821" s="18" t="s">
        <v>1779</v>
      </c>
      <c r="G821" s="8"/>
      <c r="H821" s="8">
        <v>5</v>
      </c>
      <c r="I821" s="8">
        <v>5</v>
      </c>
      <c r="J821" s="8"/>
      <c r="K821" s="8">
        <f>+G821+H821-I821+J821</f>
        <v>0</v>
      </c>
      <c r="L821" s="8"/>
      <c r="M821" s="9">
        <v>949.99</v>
      </c>
      <c r="N821" s="9">
        <f>+K821*M821</f>
        <v>0</v>
      </c>
      <c r="O821" s="9"/>
      <c r="P821" s="9"/>
      <c r="Q821" s="10" t="s">
        <v>1191</v>
      </c>
    </row>
    <row r="822" spans="1:17" s="11" customFormat="1" ht="39.950000000000003" customHeight="1" x14ac:dyDescent="0.3">
      <c r="A822" s="18" t="s">
        <v>1582</v>
      </c>
      <c r="B822" s="23" t="s">
        <v>4</v>
      </c>
      <c r="C822" s="8"/>
      <c r="D822" s="25" t="s">
        <v>2326</v>
      </c>
      <c r="E822" s="12" t="s">
        <v>1240</v>
      </c>
      <c r="F822" s="18" t="s">
        <v>1779</v>
      </c>
      <c r="G822" s="8">
        <v>10</v>
      </c>
      <c r="H822" s="8"/>
      <c r="I822" s="8">
        <f>1+1+1</f>
        <v>3</v>
      </c>
      <c r="J822" s="8"/>
      <c r="K822" s="8">
        <f>+G822+J822-I822</f>
        <v>7</v>
      </c>
      <c r="L822" s="8"/>
      <c r="M822" s="9"/>
      <c r="N822" s="9"/>
      <c r="O822" s="9">
        <v>3942.38</v>
      </c>
      <c r="P822" s="9">
        <f>+K822*O822</f>
        <v>27596.66</v>
      </c>
      <c r="Q822" s="10" t="s">
        <v>1191</v>
      </c>
    </row>
    <row r="823" spans="1:17" s="11" customFormat="1" ht="39.950000000000003" customHeight="1" x14ac:dyDescent="0.3">
      <c r="A823" s="18" t="s">
        <v>1587</v>
      </c>
      <c r="B823" s="23">
        <v>45792</v>
      </c>
      <c r="C823" s="8">
        <v>10</v>
      </c>
      <c r="D823" s="25" t="s">
        <v>2326</v>
      </c>
      <c r="E823" s="12" t="s">
        <v>1820</v>
      </c>
      <c r="F823" s="18" t="s">
        <v>1780</v>
      </c>
      <c r="G823" s="8"/>
      <c r="H823" s="8">
        <v>5</v>
      </c>
      <c r="I823" s="8"/>
      <c r="J823" s="8"/>
      <c r="K823" s="8">
        <f>+G823+H823+-I823</f>
        <v>5</v>
      </c>
      <c r="L823" s="8">
        <v>5</v>
      </c>
      <c r="M823" s="9">
        <v>2921</v>
      </c>
      <c r="N823" s="9">
        <f t="shared" ref="N823:N828" si="76">+K823*M823</f>
        <v>14605</v>
      </c>
      <c r="O823" s="9"/>
      <c r="P823" s="9"/>
      <c r="Q823" s="10" t="s">
        <v>1191</v>
      </c>
    </row>
    <row r="824" spans="1:17" s="11" customFormat="1" ht="39.950000000000003" customHeight="1" x14ac:dyDescent="0.3">
      <c r="A824" s="18" t="s">
        <v>1588</v>
      </c>
      <c r="B824" s="23"/>
      <c r="C824" s="8"/>
      <c r="D824" s="25" t="s">
        <v>2326</v>
      </c>
      <c r="E824" s="12" t="s">
        <v>1204</v>
      </c>
      <c r="F824" s="18" t="s">
        <v>1779</v>
      </c>
      <c r="G824" s="8"/>
      <c r="H824" s="8">
        <v>5</v>
      </c>
      <c r="I824" s="8">
        <v>2</v>
      </c>
      <c r="J824" s="8"/>
      <c r="K824" s="8">
        <f>+G824+H824+-I824</f>
        <v>3</v>
      </c>
      <c r="L824" s="8"/>
      <c r="M824" s="9">
        <v>3942.38</v>
      </c>
      <c r="N824" s="9">
        <f t="shared" si="76"/>
        <v>11827.14</v>
      </c>
      <c r="O824" s="9"/>
      <c r="P824" s="9"/>
      <c r="Q824" s="10" t="s">
        <v>1191</v>
      </c>
    </row>
    <row r="825" spans="1:17" s="11" customFormat="1" ht="39.950000000000003" customHeight="1" x14ac:dyDescent="0.3">
      <c r="A825" s="18" t="s">
        <v>1594</v>
      </c>
      <c r="B825" s="23">
        <v>45792</v>
      </c>
      <c r="C825" s="8">
        <v>10</v>
      </c>
      <c r="D825" s="25" t="s">
        <v>2326</v>
      </c>
      <c r="E825" s="12" t="s">
        <v>1821</v>
      </c>
      <c r="F825" s="18" t="s">
        <v>1780</v>
      </c>
      <c r="G825" s="8"/>
      <c r="H825" s="8">
        <v>5</v>
      </c>
      <c r="I825" s="8"/>
      <c r="J825" s="8"/>
      <c r="K825" s="8">
        <f>+G825+H825+-I825</f>
        <v>5</v>
      </c>
      <c r="L825" s="8">
        <v>5</v>
      </c>
      <c r="M825" s="9">
        <v>2921</v>
      </c>
      <c r="N825" s="9">
        <f t="shared" si="76"/>
        <v>14605</v>
      </c>
      <c r="O825" s="9"/>
      <c r="P825" s="9"/>
      <c r="Q825" s="10" t="s">
        <v>1191</v>
      </c>
    </row>
    <row r="826" spans="1:17" s="11" customFormat="1" ht="39.950000000000003" customHeight="1" x14ac:dyDescent="0.3">
      <c r="A826" s="18" t="s">
        <v>1595</v>
      </c>
      <c r="B826" s="23"/>
      <c r="C826" s="8"/>
      <c r="D826" s="25" t="s">
        <v>2326</v>
      </c>
      <c r="E826" s="12" t="s">
        <v>1205</v>
      </c>
      <c r="F826" s="18" t="s">
        <v>1779</v>
      </c>
      <c r="G826" s="8"/>
      <c r="H826" s="8">
        <v>5</v>
      </c>
      <c r="I826" s="8"/>
      <c r="J826" s="8"/>
      <c r="K826" s="8">
        <f>+G826+H826+-I826</f>
        <v>5</v>
      </c>
      <c r="L826" s="8">
        <v>5</v>
      </c>
      <c r="M826" s="9">
        <v>3942.38</v>
      </c>
      <c r="N826" s="9">
        <f t="shared" si="76"/>
        <v>19711.900000000001</v>
      </c>
      <c r="O826" s="9"/>
      <c r="P826" s="9"/>
      <c r="Q826" s="10" t="s">
        <v>1191</v>
      </c>
    </row>
    <row r="827" spans="1:17" s="11" customFormat="1" ht="39.950000000000003" customHeight="1" x14ac:dyDescent="0.3">
      <c r="A827" s="18" t="s">
        <v>1596</v>
      </c>
      <c r="B827" s="23">
        <v>45792</v>
      </c>
      <c r="C827" s="8">
        <v>10</v>
      </c>
      <c r="D827" s="25" t="s">
        <v>2326</v>
      </c>
      <c r="E827" s="12" t="s">
        <v>1822</v>
      </c>
      <c r="F827" s="18" t="s">
        <v>1780</v>
      </c>
      <c r="G827" s="8"/>
      <c r="H827" s="8">
        <v>5</v>
      </c>
      <c r="I827" s="8"/>
      <c r="J827" s="8"/>
      <c r="K827" s="8">
        <f>+G827+H827+-I827</f>
        <v>5</v>
      </c>
      <c r="L827" s="8">
        <v>5</v>
      </c>
      <c r="M827" s="9">
        <v>2921</v>
      </c>
      <c r="N827" s="9">
        <f t="shared" si="76"/>
        <v>14605</v>
      </c>
      <c r="O827" s="9"/>
      <c r="P827" s="9"/>
      <c r="Q827" s="10" t="s">
        <v>1191</v>
      </c>
    </row>
    <row r="828" spans="1:17" s="11" customFormat="1" ht="39.950000000000003" customHeight="1" x14ac:dyDescent="0.3">
      <c r="A828" s="18" t="s">
        <v>1597</v>
      </c>
      <c r="B828" s="23">
        <v>45512</v>
      </c>
      <c r="C828" s="8"/>
      <c r="D828" s="25" t="s">
        <v>2326</v>
      </c>
      <c r="E828" s="12" t="s">
        <v>138</v>
      </c>
      <c r="F828" s="18" t="s">
        <v>1779</v>
      </c>
      <c r="G828" s="8">
        <v>1</v>
      </c>
      <c r="H828" s="8"/>
      <c r="I828" s="8">
        <v>0</v>
      </c>
      <c r="J828" s="8"/>
      <c r="K828" s="8">
        <f>+G828+H828-I828</f>
        <v>1</v>
      </c>
      <c r="L828" s="8"/>
      <c r="M828" s="9">
        <v>1500</v>
      </c>
      <c r="N828" s="9">
        <f t="shared" si="76"/>
        <v>1500</v>
      </c>
      <c r="O828" s="9"/>
      <c r="P828" s="9"/>
      <c r="Q828" s="10" t="s">
        <v>1191</v>
      </c>
    </row>
    <row r="829" spans="1:17" s="11" customFormat="1" ht="39.950000000000003" customHeight="1" x14ac:dyDescent="0.3">
      <c r="A829" s="18" t="s">
        <v>1598</v>
      </c>
      <c r="B829" s="23"/>
      <c r="C829" s="8"/>
      <c r="D829" s="25" t="s">
        <v>2326</v>
      </c>
      <c r="E829" s="12" t="s">
        <v>1218</v>
      </c>
      <c r="F829" s="18" t="s">
        <v>1779</v>
      </c>
      <c r="G829" s="8">
        <v>5</v>
      </c>
      <c r="H829" s="8"/>
      <c r="I829" s="8"/>
      <c r="J829" s="8"/>
      <c r="K829" s="8">
        <f>+G829+H829-I829</f>
        <v>5</v>
      </c>
      <c r="L829" s="8">
        <v>2</v>
      </c>
      <c r="M829" s="9"/>
      <c r="N829" s="9"/>
      <c r="O829" s="9">
        <v>3942.38</v>
      </c>
      <c r="P829" s="9">
        <f>+K829*O829</f>
        <v>19711.900000000001</v>
      </c>
      <c r="Q829" s="10" t="s">
        <v>1191</v>
      </c>
    </row>
    <row r="830" spans="1:17" s="11" customFormat="1" ht="39.950000000000003" customHeight="1" x14ac:dyDescent="0.3">
      <c r="A830" s="18" t="s">
        <v>1599</v>
      </c>
      <c r="B830" s="23">
        <v>45799</v>
      </c>
      <c r="C830" s="8">
        <v>10</v>
      </c>
      <c r="D830" s="25" t="s">
        <v>2326</v>
      </c>
      <c r="E830" s="12" t="s">
        <v>1848</v>
      </c>
      <c r="F830" s="18" t="s">
        <v>1780</v>
      </c>
      <c r="G830" s="8"/>
      <c r="H830" s="8">
        <v>30</v>
      </c>
      <c r="I830" s="8"/>
      <c r="J830" s="8"/>
      <c r="K830" s="8">
        <f>+G830+H830+-I830</f>
        <v>30</v>
      </c>
      <c r="L830" s="8"/>
      <c r="M830" s="9">
        <v>1089</v>
      </c>
      <c r="N830" s="9">
        <f t="shared" ref="N830:N835" si="77">+K830*M830</f>
        <v>32670</v>
      </c>
      <c r="O830" s="9"/>
      <c r="P830" s="9"/>
      <c r="Q830" s="10" t="s">
        <v>1191</v>
      </c>
    </row>
    <row r="831" spans="1:17" s="11" customFormat="1" ht="39.950000000000003" customHeight="1" x14ac:dyDescent="0.3">
      <c r="A831" s="18" t="s">
        <v>1600</v>
      </c>
      <c r="B831" s="23">
        <v>45799</v>
      </c>
      <c r="C831" s="8">
        <v>10</v>
      </c>
      <c r="D831" s="25" t="s">
        <v>2326</v>
      </c>
      <c r="E831" s="12" t="s">
        <v>1852</v>
      </c>
      <c r="F831" s="18" t="s">
        <v>1780</v>
      </c>
      <c r="G831" s="8"/>
      <c r="H831" s="8">
        <v>15</v>
      </c>
      <c r="I831" s="8"/>
      <c r="J831" s="8"/>
      <c r="K831" s="8">
        <f>+G831+H831+-I831</f>
        <v>15</v>
      </c>
      <c r="L831" s="8"/>
      <c r="M831" s="9">
        <v>1167</v>
      </c>
      <c r="N831" s="9">
        <f t="shared" si="77"/>
        <v>17505</v>
      </c>
      <c r="O831" s="9"/>
      <c r="P831" s="9"/>
      <c r="Q831" s="10" t="s">
        <v>1191</v>
      </c>
    </row>
    <row r="832" spans="1:17" s="11" customFormat="1" ht="39.950000000000003" customHeight="1" x14ac:dyDescent="0.3">
      <c r="A832" s="18" t="s">
        <v>1601</v>
      </c>
      <c r="B832" s="23" t="s">
        <v>241</v>
      </c>
      <c r="C832" s="8"/>
      <c r="D832" s="25" t="s">
        <v>2326</v>
      </c>
      <c r="E832" s="12" t="s">
        <v>122</v>
      </c>
      <c r="F832" s="18" t="s">
        <v>1779</v>
      </c>
      <c r="G832" s="8">
        <v>5</v>
      </c>
      <c r="H832" s="8"/>
      <c r="I832" s="8"/>
      <c r="J832" s="8"/>
      <c r="K832" s="8">
        <f>+G832+H832-I832</f>
        <v>5</v>
      </c>
      <c r="L832" s="8"/>
      <c r="M832" s="9">
        <v>1711</v>
      </c>
      <c r="N832" s="9">
        <f t="shared" si="77"/>
        <v>8555</v>
      </c>
      <c r="O832" s="9"/>
      <c r="P832" s="9"/>
      <c r="Q832" s="10" t="s">
        <v>1191</v>
      </c>
    </row>
    <row r="833" spans="1:17" s="11" customFormat="1" ht="39.950000000000003" customHeight="1" x14ac:dyDescent="0.3">
      <c r="A833" s="18" t="s">
        <v>1602</v>
      </c>
      <c r="B833" s="23">
        <v>45799</v>
      </c>
      <c r="C833" s="8">
        <v>10</v>
      </c>
      <c r="D833" s="25" t="s">
        <v>2326</v>
      </c>
      <c r="E833" s="12" t="s">
        <v>1860</v>
      </c>
      <c r="F833" s="18" t="s">
        <v>1779</v>
      </c>
      <c r="G833" s="8"/>
      <c r="H833" s="8">
        <v>4</v>
      </c>
      <c r="I833" s="8"/>
      <c r="J833" s="8"/>
      <c r="K833" s="8">
        <f>+G833+H833+-I833</f>
        <v>4</v>
      </c>
      <c r="L833" s="8">
        <v>4</v>
      </c>
      <c r="M833" s="9">
        <v>649</v>
      </c>
      <c r="N833" s="9">
        <f t="shared" si="77"/>
        <v>2596</v>
      </c>
      <c r="O833" s="9"/>
      <c r="P833" s="9"/>
      <c r="Q833" s="10" t="s">
        <v>1191</v>
      </c>
    </row>
    <row r="834" spans="1:17" s="11" customFormat="1" ht="39.950000000000003" customHeight="1" x14ac:dyDescent="0.3">
      <c r="A834" s="18" t="s">
        <v>1603</v>
      </c>
      <c r="B834" s="23">
        <v>45799</v>
      </c>
      <c r="C834" s="8">
        <v>10</v>
      </c>
      <c r="D834" s="25" t="s">
        <v>2326</v>
      </c>
      <c r="E834" s="12" t="s">
        <v>1850</v>
      </c>
      <c r="F834" s="18" t="s">
        <v>1779</v>
      </c>
      <c r="G834" s="8"/>
      <c r="H834" s="8">
        <v>5</v>
      </c>
      <c r="I834" s="8"/>
      <c r="J834" s="8"/>
      <c r="K834" s="8">
        <f>+G834+H834+-I834</f>
        <v>5</v>
      </c>
      <c r="L834" s="8">
        <v>5</v>
      </c>
      <c r="M834" s="9">
        <v>649</v>
      </c>
      <c r="N834" s="9">
        <f t="shared" si="77"/>
        <v>3245</v>
      </c>
      <c r="O834" s="9"/>
      <c r="P834" s="9"/>
      <c r="Q834" s="10" t="s">
        <v>1191</v>
      </c>
    </row>
    <row r="835" spans="1:17" s="11" customFormat="1" ht="39.950000000000003" customHeight="1" x14ac:dyDescent="0.3">
      <c r="A835" s="18" t="s">
        <v>1604</v>
      </c>
      <c r="B835" s="23"/>
      <c r="C835" s="8"/>
      <c r="D835" s="25" t="s">
        <v>2326</v>
      </c>
      <c r="E835" s="12" t="s">
        <v>1179</v>
      </c>
      <c r="F835" s="18" t="s">
        <v>1779</v>
      </c>
      <c r="G835" s="8">
        <v>2</v>
      </c>
      <c r="H835" s="8">
        <v>10</v>
      </c>
      <c r="I835" s="8">
        <v>1</v>
      </c>
      <c r="J835" s="8"/>
      <c r="K835" s="8">
        <f>+G835+H835-I835</f>
        <v>11</v>
      </c>
      <c r="L835" s="8"/>
      <c r="M835" s="9">
        <v>3942.38</v>
      </c>
      <c r="N835" s="9">
        <f t="shared" si="77"/>
        <v>43366.18</v>
      </c>
      <c r="O835" s="9"/>
      <c r="P835" s="9"/>
      <c r="Q835" s="10" t="s">
        <v>1191</v>
      </c>
    </row>
    <row r="836" spans="1:17" s="11" customFormat="1" ht="39.950000000000003" customHeight="1" x14ac:dyDescent="0.3">
      <c r="A836" s="18" t="s">
        <v>1605</v>
      </c>
      <c r="B836" s="23" t="s">
        <v>4</v>
      </c>
      <c r="C836" s="8"/>
      <c r="D836" s="25" t="s">
        <v>2326</v>
      </c>
      <c r="E836" s="12" t="s">
        <v>1343</v>
      </c>
      <c r="F836" s="18" t="s">
        <v>1779</v>
      </c>
      <c r="G836" s="8">
        <v>20</v>
      </c>
      <c r="H836" s="8"/>
      <c r="I836" s="8">
        <f>2+1+1+1+1+2+1</f>
        <v>9</v>
      </c>
      <c r="J836" s="8"/>
      <c r="K836" s="8">
        <f>+G836+H836-I836</f>
        <v>11</v>
      </c>
      <c r="L836" s="8">
        <v>12</v>
      </c>
      <c r="M836" s="9"/>
      <c r="N836" s="9"/>
      <c r="O836" s="9">
        <v>3942.38</v>
      </c>
      <c r="P836" s="9">
        <f>+K836*O836</f>
        <v>43366.18</v>
      </c>
      <c r="Q836" s="10" t="s">
        <v>1191</v>
      </c>
    </row>
    <row r="837" spans="1:17" s="11" customFormat="1" ht="39.950000000000003" customHeight="1" x14ac:dyDescent="0.3">
      <c r="A837" s="18" t="s">
        <v>1629</v>
      </c>
      <c r="B837" s="23" t="s">
        <v>79</v>
      </c>
      <c r="C837" s="8"/>
      <c r="D837" s="25" t="s">
        <v>2326</v>
      </c>
      <c r="E837" s="12" t="s">
        <v>1237</v>
      </c>
      <c r="F837" s="18" t="s">
        <v>1779</v>
      </c>
      <c r="G837" s="8">
        <v>5</v>
      </c>
      <c r="H837" s="8"/>
      <c r="I837" s="8">
        <v>1</v>
      </c>
      <c r="J837" s="8"/>
      <c r="K837" s="8">
        <f>+G837+H837-I837</f>
        <v>4</v>
      </c>
      <c r="L837" s="8"/>
      <c r="M837" s="9"/>
      <c r="N837" s="9"/>
      <c r="O837" s="9">
        <v>3942.38</v>
      </c>
      <c r="P837" s="9">
        <f>+K837*O837</f>
        <v>15769.52</v>
      </c>
      <c r="Q837" s="10" t="s">
        <v>1191</v>
      </c>
    </row>
    <row r="838" spans="1:17" s="11" customFormat="1" ht="39.950000000000003" customHeight="1" x14ac:dyDescent="0.3">
      <c r="A838" s="18" t="s">
        <v>1631</v>
      </c>
      <c r="B838" s="23">
        <v>45414</v>
      </c>
      <c r="C838" s="8"/>
      <c r="D838" s="25" t="s">
        <v>2326</v>
      </c>
      <c r="E838" s="12" t="s">
        <v>1236</v>
      </c>
      <c r="F838" s="18" t="s">
        <v>1779</v>
      </c>
      <c r="G838" s="8"/>
      <c r="H838" s="8">
        <v>5</v>
      </c>
      <c r="I838" s="8">
        <v>3</v>
      </c>
      <c r="J838" s="8"/>
      <c r="K838" s="8">
        <f>+G838+H838+-I838</f>
        <v>2</v>
      </c>
      <c r="L838" s="8">
        <v>1</v>
      </c>
      <c r="M838" s="9">
        <v>3942.38</v>
      </c>
      <c r="N838" s="9">
        <f>+K838*M838</f>
        <v>7884.76</v>
      </c>
      <c r="O838" s="9"/>
      <c r="P838" s="9"/>
      <c r="Q838" s="10" t="s">
        <v>1191</v>
      </c>
    </row>
    <row r="839" spans="1:17" s="11" customFormat="1" ht="40.5" x14ac:dyDescent="0.3">
      <c r="A839" s="18" t="s">
        <v>1634</v>
      </c>
      <c r="B839" s="23">
        <v>45414</v>
      </c>
      <c r="C839" s="8"/>
      <c r="D839" s="25" t="s">
        <v>2326</v>
      </c>
      <c r="E839" s="12" t="s">
        <v>1235</v>
      </c>
      <c r="F839" s="18" t="s">
        <v>1779</v>
      </c>
      <c r="G839" s="8">
        <v>5</v>
      </c>
      <c r="H839" s="8"/>
      <c r="I839" s="8">
        <v>0</v>
      </c>
      <c r="J839" s="8"/>
      <c r="K839" s="8">
        <f>+G839-I839+J839</f>
        <v>5</v>
      </c>
      <c r="L839" s="8">
        <v>5</v>
      </c>
      <c r="M839" s="9"/>
      <c r="N839" s="9"/>
      <c r="O839" s="9">
        <v>3942.38</v>
      </c>
      <c r="P839" s="9">
        <f>+O839*K839</f>
        <v>19711.900000000001</v>
      </c>
      <c r="Q839" s="10" t="s">
        <v>1191</v>
      </c>
    </row>
    <row r="840" spans="1:17" s="11" customFormat="1" ht="20.25" x14ac:dyDescent="0.3">
      <c r="A840" s="18" t="s">
        <v>1637</v>
      </c>
      <c r="B840" s="23" t="s">
        <v>4</v>
      </c>
      <c r="C840" s="8"/>
      <c r="D840" s="25" t="s">
        <v>2326</v>
      </c>
      <c r="E840" s="12" t="s">
        <v>1238</v>
      </c>
      <c r="F840" s="18" t="s">
        <v>1779</v>
      </c>
      <c r="G840" s="8">
        <v>1</v>
      </c>
      <c r="H840" s="8"/>
      <c r="I840" s="8"/>
      <c r="J840" s="8"/>
      <c r="K840" s="8">
        <f t="shared" ref="K840:K846" si="78">+G840+H840-I840</f>
        <v>1</v>
      </c>
      <c r="L840" s="8"/>
      <c r="M840" s="9">
        <v>3894</v>
      </c>
      <c r="N840" s="9">
        <f t="shared" ref="N840:N845" si="79">+K840*M840</f>
        <v>3894</v>
      </c>
      <c r="O840" s="9"/>
      <c r="P840" s="9"/>
      <c r="Q840" s="10" t="s">
        <v>1191</v>
      </c>
    </row>
    <row r="841" spans="1:17" s="11" customFormat="1" ht="20.25" x14ac:dyDescent="0.3">
      <c r="A841" s="18" t="s">
        <v>1640</v>
      </c>
      <c r="B841" s="23" t="s">
        <v>4</v>
      </c>
      <c r="C841" s="8"/>
      <c r="D841" s="25" t="s">
        <v>2326</v>
      </c>
      <c r="E841" s="12" t="s">
        <v>1211</v>
      </c>
      <c r="F841" s="18" t="s">
        <v>1779</v>
      </c>
      <c r="G841" s="8">
        <v>2</v>
      </c>
      <c r="H841" s="8">
        <v>5</v>
      </c>
      <c r="I841" s="8">
        <f>2+1+1</f>
        <v>4</v>
      </c>
      <c r="J841" s="8"/>
      <c r="K841" s="8">
        <f t="shared" si="78"/>
        <v>3</v>
      </c>
      <c r="L841" s="8"/>
      <c r="M841" s="9">
        <v>3942.38</v>
      </c>
      <c r="N841" s="9">
        <f t="shared" si="79"/>
        <v>11827.14</v>
      </c>
      <c r="O841" s="9"/>
      <c r="P841" s="9"/>
      <c r="Q841" s="10" t="s">
        <v>1191</v>
      </c>
    </row>
    <row r="842" spans="1:17" s="11" customFormat="1" ht="20.25" customHeight="1" x14ac:dyDescent="0.3">
      <c r="A842" s="18" t="s">
        <v>1720</v>
      </c>
      <c r="B842" s="23" t="s">
        <v>4</v>
      </c>
      <c r="C842" s="8"/>
      <c r="D842" s="25" t="s">
        <v>2326</v>
      </c>
      <c r="E842" s="12" t="s">
        <v>123</v>
      </c>
      <c r="F842" s="18" t="s">
        <v>1779</v>
      </c>
      <c r="G842" s="8">
        <v>3</v>
      </c>
      <c r="H842" s="8">
        <v>10</v>
      </c>
      <c r="I842" s="8">
        <v>1</v>
      </c>
      <c r="J842" s="8"/>
      <c r="K842" s="8">
        <f t="shared" si="78"/>
        <v>12</v>
      </c>
      <c r="L842" s="8">
        <v>10</v>
      </c>
      <c r="M842" s="9">
        <v>3942.38</v>
      </c>
      <c r="N842" s="9">
        <f t="shared" si="79"/>
        <v>47308.56</v>
      </c>
      <c r="O842" s="9"/>
      <c r="P842" s="9"/>
      <c r="Q842" s="10" t="s">
        <v>1191</v>
      </c>
    </row>
    <row r="843" spans="1:17" s="11" customFormat="1" ht="20.25" customHeight="1" x14ac:dyDescent="0.3">
      <c r="A843" s="18" t="s">
        <v>1721</v>
      </c>
      <c r="B843" s="23" t="s">
        <v>4</v>
      </c>
      <c r="C843" s="8"/>
      <c r="D843" s="25" t="s">
        <v>2326</v>
      </c>
      <c r="E843" s="12" t="s">
        <v>1233</v>
      </c>
      <c r="F843" s="18" t="s">
        <v>1779</v>
      </c>
      <c r="G843" s="8">
        <v>2</v>
      </c>
      <c r="H843" s="8"/>
      <c r="I843" s="8"/>
      <c r="J843" s="8"/>
      <c r="K843" s="8">
        <f t="shared" si="78"/>
        <v>2</v>
      </c>
      <c r="L843" s="8"/>
      <c r="M843" s="9">
        <v>1500</v>
      </c>
      <c r="N843" s="9">
        <f t="shared" si="79"/>
        <v>3000</v>
      </c>
      <c r="O843" s="9"/>
      <c r="P843" s="9"/>
      <c r="Q843" s="10" t="s">
        <v>1191</v>
      </c>
    </row>
    <row r="844" spans="1:17" s="11" customFormat="1" ht="23.25" customHeight="1" x14ac:dyDescent="0.3">
      <c r="A844" s="18" t="s">
        <v>1722</v>
      </c>
      <c r="B844" s="23" t="s">
        <v>4</v>
      </c>
      <c r="C844" s="8"/>
      <c r="D844" s="25" t="s">
        <v>2326</v>
      </c>
      <c r="E844" s="12" t="s">
        <v>125</v>
      </c>
      <c r="F844" s="18" t="s">
        <v>1779</v>
      </c>
      <c r="G844" s="8">
        <v>5</v>
      </c>
      <c r="H844" s="8">
        <v>5</v>
      </c>
      <c r="I844" s="8">
        <v>1</v>
      </c>
      <c r="J844" s="8"/>
      <c r="K844" s="8">
        <f t="shared" si="78"/>
        <v>9</v>
      </c>
      <c r="L844" s="8">
        <v>9</v>
      </c>
      <c r="M844" s="9">
        <v>3942.38</v>
      </c>
      <c r="N844" s="9">
        <f t="shared" si="79"/>
        <v>35481.42</v>
      </c>
      <c r="O844" s="9"/>
      <c r="P844" s="9"/>
      <c r="Q844" s="10" t="s">
        <v>1191</v>
      </c>
    </row>
    <row r="845" spans="1:17" s="11" customFormat="1" ht="20.25" customHeight="1" x14ac:dyDescent="0.3">
      <c r="A845" s="18" t="s">
        <v>1726</v>
      </c>
      <c r="B845" s="23">
        <v>45414</v>
      </c>
      <c r="C845" s="8"/>
      <c r="D845" s="25" t="s">
        <v>2326</v>
      </c>
      <c r="E845" s="12" t="s">
        <v>126</v>
      </c>
      <c r="F845" s="18" t="s">
        <v>1779</v>
      </c>
      <c r="G845" s="8">
        <v>6</v>
      </c>
      <c r="H845" s="8">
        <v>5</v>
      </c>
      <c r="I845" s="8">
        <v>1</v>
      </c>
      <c r="J845" s="8"/>
      <c r="K845" s="8">
        <f t="shared" si="78"/>
        <v>10</v>
      </c>
      <c r="L845" s="8">
        <v>10</v>
      </c>
      <c r="M845" s="9">
        <v>3942.38</v>
      </c>
      <c r="N845" s="9">
        <f t="shared" si="79"/>
        <v>39423.800000000003</v>
      </c>
      <c r="O845" s="9"/>
      <c r="P845" s="9"/>
      <c r="Q845" s="10" t="s">
        <v>1191</v>
      </c>
    </row>
    <row r="846" spans="1:17" s="11" customFormat="1" ht="23.25" customHeight="1" x14ac:dyDescent="0.3">
      <c r="A846" s="18" t="s">
        <v>1727</v>
      </c>
      <c r="B846" s="23">
        <v>45414</v>
      </c>
      <c r="C846" s="8"/>
      <c r="D846" s="25" t="s">
        <v>2326</v>
      </c>
      <c r="E846" s="12" t="s">
        <v>126</v>
      </c>
      <c r="F846" s="18" t="s">
        <v>1779</v>
      </c>
      <c r="G846" s="8">
        <v>5</v>
      </c>
      <c r="H846" s="8"/>
      <c r="I846" s="8"/>
      <c r="J846" s="8"/>
      <c r="K846" s="8">
        <f t="shared" si="78"/>
        <v>5</v>
      </c>
      <c r="L846" s="8">
        <v>4</v>
      </c>
      <c r="M846" s="9"/>
      <c r="N846" s="9"/>
      <c r="O846" s="9">
        <v>3942.38</v>
      </c>
      <c r="P846" s="9">
        <f>+K846*O846</f>
        <v>19711.900000000001</v>
      </c>
      <c r="Q846" s="10" t="s">
        <v>1191</v>
      </c>
    </row>
    <row r="847" spans="1:17" s="11" customFormat="1" ht="23.25" customHeight="1" x14ac:dyDescent="0.3">
      <c r="A847" s="18" t="s">
        <v>1728</v>
      </c>
      <c r="B847" s="23">
        <v>45799</v>
      </c>
      <c r="C847" s="8">
        <v>10</v>
      </c>
      <c r="D847" s="25" t="s">
        <v>2326</v>
      </c>
      <c r="E847" s="12" t="s">
        <v>1847</v>
      </c>
      <c r="F847" s="18" t="s">
        <v>1784</v>
      </c>
      <c r="G847" s="8"/>
      <c r="H847" s="8">
        <v>20</v>
      </c>
      <c r="I847" s="8">
        <v>1</v>
      </c>
      <c r="J847" s="8"/>
      <c r="K847" s="8">
        <f>+G847+H847+-I847</f>
        <v>19</v>
      </c>
      <c r="L847" s="8"/>
      <c r="M847" s="9">
        <v>4611</v>
      </c>
      <c r="N847" s="9">
        <f t="shared" ref="N847:N854" si="80">+K847*M847</f>
        <v>87609</v>
      </c>
      <c r="O847" s="9"/>
      <c r="P847" s="9"/>
      <c r="Q847" s="10" t="s">
        <v>1191</v>
      </c>
    </row>
    <row r="848" spans="1:17" s="11" customFormat="1" ht="20.25" x14ac:dyDescent="0.3">
      <c r="A848" s="18" t="s">
        <v>1731</v>
      </c>
      <c r="B848" s="23">
        <v>45414</v>
      </c>
      <c r="C848" s="8"/>
      <c r="D848" s="25" t="s">
        <v>2326</v>
      </c>
      <c r="E848" s="12" t="s">
        <v>127</v>
      </c>
      <c r="F848" s="18" t="s">
        <v>1779</v>
      </c>
      <c r="G848" s="8">
        <v>1</v>
      </c>
      <c r="H848" s="8"/>
      <c r="I848" s="8"/>
      <c r="J848" s="8"/>
      <c r="K848" s="8">
        <f>+G848+H848-I848</f>
        <v>1</v>
      </c>
      <c r="L848" s="8"/>
      <c r="M848" s="9">
        <v>5915.82</v>
      </c>
      <c r="N848" s="9">
        <f t="shared" si="80"/>
        <v>5915.82</v>
      </c>
      <c r="O848" s="9"/>
      <c r="P848" s="9"/>
      <c r="Q848" s="10" t="s">
        <v>1191</v>
      </c>
    </row>
    <row r="849" spans="1:17" s="11" customFormat="1" ht="40.5" x14ac:dyDescent="0.3">
      <c r="A849" s="18" t="s">
        <v>1732</v>
      </c>
      <c r="B849" s="23">
        <v>45803</v>
      </c>
      <c r="C849" s="8">
        <v>10</v>
      </c>
      <c r="D849" s="25" t="s">
        <v>2326</v>
      </c>
      <c r="E849" s="12" t="s">
        <v>2017</v>
      </c>
      <c r="F849" s="18" t="s">
        <v>1784</v>
      </c>
      <c r="G849" s="8"/>
      <c r="H849" s="8">
        <v>30</v>
      </c>
      <c r="I849" s="8"/>
      <c r="J849" s="8"/>
      <c r="K849" s="8">
        <f>+G849+H849-I849+J849</f>
        <v>30</v>
      </c>
      <c r="L849" s="8"/>
      <c r="M849" s="9">
        <v>5078</v>
      </c>
      <c r="N849" s="9">
        <f t="shared" si="80"/>
        <v>152340</v>
      </c>
      <c r="O849" s="9"/>
      <c r="P849" s="9"/>
      <c r="Q849" s="10" t="s">
        <v>1191</v>
      </c>
    </row>
    <row r="850" spans="1:17" s="11" customFormat="1" ht="39.950000000000003" customHeight="1" x14ac:dyDescent="0.3">
      <c r="A850" s="18" t="s">
        <v>1743</v>
      </c>
      <c r="B850" s="23"/>
      <c r="C850" s="8"/>
      <c r="D850" s="25" t="s">
        <v>2326</v>
      </c>
      <c r="E850" s="12" t="s">
        <v>1252</v>
      </c>
      <c r="F850" s="18" t="s">
        <v>1779</v>
      </c>
      <c r="G850" s="8">
        <f>3+4</f>
        <v>7</v>
      </c>
      <c r="H850" s="8"/>
      <c r="I850" s="8"/>
      <c r="J850" s="8"/>
      <c r="K850" s="8">
        <f>+G850+H850-I850</f>
        <v>7</v>
      </c>
      <c r="L850" s="8">
        <v>6</v>
      </c>
      <c r="M850" s="9">
        <v>2382</v>
      </c>
      <c r="N850" s="9">
        <f t="shared" si="80"/>
        <v>16674</v>
      </c>
      <c r="O850" s="9"/>
      <c r="P850" s="9"/>
      <c r="Q850" s="10" t="s">
        <v>1191</v>
      </c>
    </row>
    <row r="851" spans="1:17" s="11" customFormat="1" ht="39.950000000000003" customHeight="1" x14ac:dyDescent="0.3">
      <c r="A851" s="18" t="s">
        <v>1744</v>
      </c>
      <c r="B851" s="23">
        <v>45414</v>
      </c>
      <c r="C851" s="8"/>
      <c r="D851" s="25" t="s">
        <v>2326</v>
      </c>
      <c r="E851" s="12" t="s">
        <v>128</v>
      </c>
      <c r="F851" s="18" t="s">
        <v>1779</v>
      </c>
      <c r="G851" s="8">
        <v>9</v>
      </c>
      <c r="H851" s="8"/>
      <c r="I851" s="8">
        <v>6</v>
      </c>
      <c r="J851" s="8"/>
      <c r="K851" s="8">
        <f>+G851+H851-I851</f>
        <v>3</v>
      </c>
      <c r="L851" s="8"/>
      <c r="M851" s="9">
        <v>3942.38</v>
      </c>
      <c r="N851" s="9">
        <f t="shared" si="80"/>
        <v>11827.14</v>
      </c>
      <c r="O851" s="9"/>
      <c r="P851" s="9"/>
      <c r="Q851" s="10" t="s">
        <v>1191</v>
      </c>
    </row>
    <row r="852" spans="1:17" s="11" customFormat="1" ht="39.950000000000003" customHeight="1" x14ac:dyDescent="0.3">
      <c r="A852" s="18" t="s">
        <v>1747</v>
      </c>
      <c r="B852" s="23">
        <v>45414</v>
      </c>
      <c r="C852" s="8"/>
      <c r="D852" s="25" t="s">
        <v>2326</v>
      </c>
      <c r="E852" s="12" t="s">
        <v>129</v>
      </c>
      <c r="F852" s="18" t="s">
        <v>1779</v>
      </c>
      <c r="G852" s="8">
        <f>14-1-1</f>
        <v>12</v>
      </c>
      <c r="H852" s="8"/>
      <c r="I852" s="8">
        <f>1+1+1</f>
        <v>3</v>
      </c>
      <c r="J852" s="8"/>
      <c r="K852" s="8">
        <f>+G852+H852-I852</f>
        <v>9</v>
      </c>
      <c r="L852" s="8"/>
      <c r="M852" s="9">
        <v>5915.82</v>
      </c>
      <c r="N852" s="9">
        <f t="shared" si="80"/>
        <v>53242.38</v>
      </c>
      <c r="O852" s="9"/>
      <c r="P852" s="9"/>
      <c r="Q852" s="10" t="s">
        <v>1191</v>
      </c>
    </row>
    <row r="853" spans="1:17" s="11" customFormat="1" ht="39.950000000000003" customHeight="1" x14ac:dyDescent="0.3">
      <c r="A853" s="18" t="s">
        <v>1756</v>
      </c>
      <c r="B853" s="23">
        <v>45414</v>
      </c>
      <c r="C853" s="8"/>
      <c r="D853" s="25" t="s">
        <v>2326</v>
      </c>
      <c r="E853" s="12" t="s">
        <v>124</v>
      </c>
      <c r="F853" s="18" t="s">
        <v>1779</v>
      </c>
      <c r="G853" s="8">
        <v>2</v>
      </c>
      <c r="H853" s="8">
        <v>2</v>
      </c>
      <c r="I853" s="8">
        <v>4</v>
      </c>
      <c r="J853" s="8"/>
      <c r="K853" s="8">
        <f>+G853+H853-I853</f>
        <v>0</v>
      </c>
      <c r="L853" s="8">
        <v>0</v>
      </c>
      <c r="M853" s="9">
        <v>3943.28</v>
      </c>
      <c r="N853" s="9">
        <f t="shared" si="80"/>
        <v>0</v>
      </c>
      <c r="O853" s="9"/>
      <c r="P853" s="9">
        <f>+J853*O853</f>
        <v>0</v>
      </c>
      <c r="Q853" s="10" t="s">
        <v>1191</v>
      </c>
    </row>
    <row r="854" spans="1:17" s="11" customFormat="1" ht="39.950000000000003" customHeight="1" x14ac:dyDescent="0.3">
      <c r="A854" s="18" t="s">
        <v>1757</v>
      </c>
      <c r="B854" s="23">
        <v>45414</v>
      </c>
      <c r="C854" s="8"/>
      <c r="D854" s="25" t="s">
        <v>2326</v>
      </c>
      <c r="E854" s="12" t="s">
        <v>1253</v>
      </c>
      <c r="F854" s="18" t="s">
        <v>1779</v>
      </c>
      <c r="G854" s="8">
        <v>3</v>
      </c>
      <c r="H854" s="8">
        <v>5</v>
      </c>
      <c r="I854" s="8">
        <f>7</f>
        <v>7</v>
      </c>
      <c r="J854" s="8"/>
      <c r="K854" s="8">
        <f>+G854+H854-I854</f>
        <v>1</v>
      </c>
      <c r="L854" s="8"/>
      <c r="M854" s="9">
        <v>3942.38</v>
      </c>
      <c r="N854" s="9">
        <f t="shared" si="80"/>
        <v>3942.38</v>
      </c>
      <c r="O854" s="9"/>
      <c r="P854" s="9"/>
      <c r="Q854" s="10" t="s">
        <v>1191</v>
      </c>
    </row>
    <row r="855" spans="1:17" s="11" customFormat="1" ht="39.950000000000003" customHeight="1" x14ac:dyDescent="0.3">
      <c r="A855" s="18" t="s">
        <v>1764</v>
      </c>
      <c r="B855" s="23">
        <v>45414</v>
      </c>
      <c r="C855" s="8"/>
      <c r="D855" s="25" t="s">
        <v>2326</v>
      </c>
      <c r="E855" s="12" t="s">
        <v>1254</v>
      </c>
      <c r="F855" s="18" t="s">
        <v>1779</v>
      </c>
      <c r="G855" s="8">
        <v>5</v>
      </c>
      <c r="H855" s="8"/>
      <c r="I855" s="8">
        <f>2+1</f>
        <v>3</v>
      </c>
      <c r="J855" s="8"/>
      <c r="K855" s="8">
        <f>+G855+J855-I855</f>
        <v>2</v>
      </c>
      <c r="L855" s="8"/>
      <c r="M855" s="9"/>
      <c r="N855" s="9"/>
      <c r="O855" s="9">
        <v>3942.38</v>
      </c>
      <c r="P855" s="9">
        <f>+K855*O855</f>
        <v>7884.76</v>
      </c>
      <c r="Q855" s="10" t="s">
        <v>1191</v>
      </c>
    </row>
    <row r="856" spans="1:17" s="11" customFormat="1" ht="39.950000000000003" customHeight="1" x14ac:dyDescent="0.3">
      <c r="A856" s="18" t="s">
        <v>1765</v>
      </c>
      <c r="B856" s="23"/>
      <c r="C856" s="8"/>
      <c r="D856" s="25" t="s">
        <v>2326</v>
      </c>
      <c r="E856" s="12" t="s">
        <v>130</v>
      </c>
      <c r="F856" s="18" t="s">
        <v>1779</v>
      </c>
      <c r="G856" s="8">
        <f>28+3</f>
        <v>31</v>
      </c>
      <c r="H856" s="8"/>
      <c r="I856" s="8"/>
      <c r="J856" s="8"/>
      <c r="K856" s="8">
        <f>+G856+H856-I856</f>
        <v>31</v>
      </c>
      <c r="L856" s="8"/>
      <c r="M856" s="9">
        <v>1165.8399999999999</v>
      </c>
      <c r="N856" s="9">
        <f t="shared" ref="N856:N862" si="81">+K856*M856</f>
        <v>36141.040000000001</v>
      </c>
      <c r="O856" s="9"/>
      <c r="P856" s="9"/>
      <c r="Q856" s="10" t="s">
        <v>1191</v>
      </c>
    </row>
    <row r="857" spans="1:17" s="11" customFormat="1" ht="39.950000000000003" customHeight="1" x14ac:dyDescent="0.3">
      <c r="A857" s="18" t="s">
        <v>1766</v>
      </c>
      <c r="B857" s="23"/>
      <c r="C857" s="8"/>
      <c r="D857" s="25" t="s">
        <v>2326</v>
      </c>
      <c r="E857" s="12" t="s">
        <v>1291</v>
      </c>
      <c r="F857" s="18" t="s">
        <v>1779</v>
      </c>
      <c r="G857" s="8"/>
      <c r="H857" s="8">
        <v>5</v>
      </c>
      <c r="I857" s="8">
        <v>5</v>
      </c>
      <c r="J857" s="8"/>
      <c r="K857" s="8">
        <f>+G857+H857-I857+J857</f>
        <v>0</v>
      </c>
      <c r="L857" s="8"/>
      <c r="M857" s="9">
        <v>4275</v>
      </c>
      <c r="N857" s="9">
        <f t="shared" si="81"/>
        <v>0</v>
      </c>
      <c r="O857" s="9"/>
      <c r="P857" s="9"/>
      <c r="Q857" s="10" t="s">
        <v>1191</v>
      </c>
    </row>
    <row r="858" spans="1:17" s="11" customFormat="1" ht="39.950000000000003" customHeight="1" x14ac:dyDescent="0.3">
      <c r="A858" s="18" t="s">
        <v>1791</v>
      </c>
      <c r="B858" s="23" t="s">
        <v>4</v>
      </c>
      <c r="C858" s="8"/>
      <c r="D858" s="25" t="s">
        <v>2326</v>
      </c>
      <c r="E858" s="12" t="s">
        <v>131</v>
      </c>
      <c r="F858" s="18" t="s">
        <v>1779</v>
      </c>
      <c r="G858" s="8">
        <v>4</v>
      </c>
      <c r="H858" s="8"/>
      <c r="I858" s="8">
        <v>1</v>
      </c>
      <c r="J858" s="8"/>
      <c r="K858" s="8">
        <f>+G858+H858-I858</f>
        <v>3</v>
      </c>
      <c r="L858" s="8">
        <v>3</v>
      </c>
      <c r="M858" s="9">
        <v>1500</v>
      </c>
      <c r="N858" s="9">
        <f t="shared" si="81"/>
        <v>4500</v>
      </c>
      <c r="O858" s="9"/>
      <c r="P858" s="9"/>
      <c r="Q858" s="10" t="s">
        <v>1191</v>
      </c>
    </row>
    <row r="859" spans="1:17" s="11" customFormat="1" ht="39.950000000000003" customHeight="1" x14ac:dyDescent="0.3">
      <c r="A859" s="18" t="s">
        <v>1792</v>
      </c>
      <c r="B859" s="23"/>
      <c r="C859" s="8"/>
      <c r="D859" s="25" t="s">
        <v>2326</v>
      </c>
      <c r="E859" s="12" t="s">
        <v>132</v>
      </c>
      <c r="F859" s="18" t="s">
        <v>1779</v>
      </c>
      <c r="G859" s="8">
        <v>7</v>
      </c>
      <c r="H859" s="8"/>
      <c r="I859" s="8"/>
      <c r="J859" s="8"/>
      <c r="K859" s="8">
        <f>+G859+H859-I859</f>
        <v>7</v>
      </c>
      <c r="L859" s="8"/>
      <c r="M859" s="9">
        <v>6020</v>
      </c>
      <c r="N859" s="9">
        <f t="shared" si="81"/>
        <v>42140</v>
      </c>
      <c r="O859" s="9"/>
      <c r="P859" s="9"/>
      <c r="Q859" s="10" t="s">
        <v>1191</v>
      </c>
    </row>
    <row r="860" spans="1:17" s="11" customFormat="1" ht="39.950000000000003" customHeight="1" x14ac:dyDescent="0.3">
      <c r="A860" s="18" t="s">
        <v>1793</v>
      </c>
      <c r="B860" s="23"/>
      <c r="C860" s="8"/>
      <c r="D860" s="25" t="s">
        <v>2326</v>
      </c>
      <c r="E860" s="12" t="s">
        <v>133</v>
      </c>
      <c r="F860" s="18" t="s">
        <v>1779</v>
      </c>
      <c r="G860" s="8">
        <v>4</v>
      </c>
      <c r="H860" s="8"/>
      <c r="I860" s="8"/>
      <c r="J860" s="8"/>
      <c r="K860" s="8">
        <f>+G860+H860-I860</f>
        <v>4</v>
      </c>
      <c r="L860" s="8">
        <v>4</v>
      </c>
      <c r="M860" s="9">
        <v>1250</v>
      </c>
      <c r="N860" s="9">
        <f t="shared" si="81"/>
        <v>5000</v>
      </c>
      <c r="O860" s="9"/>
      <c r="P860" s="9"/>
      <c r="Q860" s="10" t="s">
        <v>1191</v>
      </c>
    </row>
    <row r="861" spans="1:17" s="11" customFormat="1" ht="39.950000000000003" customHeight="1" x14ac:dyDescent="0.3">
      <c r="A861" s="18" t="s">
        <v>1794</v>
      </c>
      <c r="B861" s="23"/>
      <c r="C861" s="8"/>
      <c r="D861" s="25" t="s">
        <v>2326</v>
      </c>
      <c r="E861" s="12" t="s">
        <v>1239</v>
      </c>
      <c r="F861" s="18" t="s">
        <v>1779</v>
      </c>
      <c r="G861" s="8">
        <v>8</v>
      </c>
      <c r="H861" s="8"/>
      <c r="I861" s="8"/>
      <c r="J861" s="8"/>
      <c r="K861" s="8">
        <f>+G861+H861-I861</f>
        <v>8</v>
      </c>
      <c r="L861" s="8">
        <v>8</v>
      </c>
      <c r="M861" s="9">
        <v>1869.12</v>
      </c>
      <c r="N861" s="9">
        <f t="shared" si="81"/>
        <v>14952.96</v>
      </c>
      <c r="O861" s="9"/>
      <c r="P861" s="9"/>
      <c r="Q861" s="10" t="s">
        <v>1191</v>
      </c>
    </row>
    <row r="862" spans="1:17" s="11" customFormat="1" ht="39.950000000000003" customHeight="1" x14ac:dyDescent="0.3">
      <c r="A862" s="18" t="s">
        <v>1795</v>
      </c>
      <c r="B862" s="23" t="s">
        <v>1748</v>
      </c>
      <c r="C862" s="8">
        <v>10</v>
      </c>
      <c r="D862" s="25" t="s">
        <v>2326</v>
      </c>
      <c r="E862" s="12" t="s">
        <v>1750</v>
      </c>
      <c r="F862" s="18" t="s">
        <v>1779</v>
      </c>
      <c r="G862" s="8">
        <v>4</v>
      </c>
      <c r="H862" s="8"/>
      <c r="I862" s="8">
        <v>4</v>
      </c>
      <c r="J862" s="8"/>
      <c r="K862" s="8">
        <f>+G862+H862+-I862</f>
        <v>0</v>
      </c>
      <c r="L862" s="8"/>
      <c r="M862" s="9">
        <v>1692</v>
      </c>
      <c r="N862" s="9">
        <f t="shared" si="81"/>
        <v>0</v>
      </c>
      <c r="O862" s="9"/>
      <c r="P862" s="9"/>
      <c r="Q862" s="10" t="s">
        <v>1191</v>
      </c>
    </row>
    <row r="863" spans="1:17" s="11" customFormat="1" ht="20.25" x14ac:dyDescent="0.3">
      <c r="A863" s="18" t="s">
        <v>1809</v>
      </c>
      <c r="B863" s="23"/>
      <c r="C863" s="8"/>
      <c r="D863" s="25" t="s">
        <v>2326</v>
      </c>
      <c r="E863" s="12" t="s">
        <v>1215</v>
      </c>
      <c r="F863" s="8" t="s">
        <v>1779</v>
      </c>
      <c r="G863" s="8">
        <v>5</v>
      </c>
      <c r="H863" s="8"/>
      <c r="I863" s="8">
        <f>1+1</f>
        <v>2</v>
      </c>
      <c r="J863" s="8"/>
      <c r="K863" s="8">
        <f>+G863+J863-I863</f>
        <v>3</v>
      </c>
      <c r="L863" s="9"/>
      <c r="M863" s="9"/>
      <c r="N863" s="9"/>
      <c r="O863" s="9">
        <v>3942.38</v>
      </c>
      <c r="P863" s="10">
        <f>+K863*O863</f>
        <v>11827.14</v>
      </c>
      <c r="Q863" s="56" t="s">
        <v>1191</v>
      </c>
    </row>
    <row r="864" spans="1:17" s="11" customFormat="1" ht="40.5" x14ac:dyDescent="0.3">
      <c r="A864" s="18" t="s">
        <v>1810</v>
      </c>
      <c r="B864" s="23">
        <v>45803</v>
      </c>
      <c r="C864" s="8">
        <v>10</v>
      </c>
      <c r="D864" s="25" t="s">
        <v>2326</v>
      </c>
      <c r="E864" s="12" t="s">
        <v>2018</v>
      </c>
      <c r="F864" s="18" t="s">
        <v>1784</v>
      </c>
      <c r="G864" s="8"/>
      <c r="H864" s="8">
        <v>5</v>
      </c>
      <c r="I864" s="8"/>
      <c r="J864" s="8"/>
      <c r="K864" s="8">
        <f>+G864+H864-I864+J864</f>
        <v>5</v>
      </c>
      <c r="L864" s="8"/>
      <c r="M864" s="9">
        <v>3408</v>
      </c>
      <c r="N864" s="9">
        <f>+K864*M864</f>
        <v>17040</v>
      </c>
      <c r="O864" s="9"/>
      <c r="P864" s="9"/>
      <c r="Q864" s="10" t="s">
        <v>1191</v>
      </c>
    </row>
    <row r="865" spans="1:17" s="11" customFormat="1" ht="40.5" x14ac:dyDescent="0.3">
      <c r="A865" s="18" t="s">
        <v>1811</v>
      </c>
      <c r="B865" s="23"/>
      <c r="C865" s="8"/>
      <c r="D865" s="25" t="s">
        <v>2318</v>
      </c>
      <c r="E865" s="12" t="s">
        <v>163</v>
      </c>
      <c r="F865" s="18" t="s">
        <v>1779</v>
      </c>
      <c r="G865" s="8">
        <v>3</v>
      </c>
      <c r="H865" s="8"/>
      <c r="I865" s="8">
        <v>2</v>
      </c>
      <c r="J865" s="8"/>
      <c r="K865" s="8">
        <f>+G865+H865+-I865</f>
        <v>1</v>
      </c>
      <c r="L865" s="8"/>
      <c r="M865" s="9">
        <v>755</v>
      </c>
      <c r="N865" s="9">
        <f>+K865*M865</f>
        <v>755</v>
      </c>
      <c r="O865" s="9"/>
      <c r="P865" s="9"/>
      <c r="Q865" s="10" t="s">
        <v>159</v>
      </c>
    </row>
    <row r="866" spans="1:17" s="11" customFormat="1" ht="40.5" x14ac:dyDescent="0.3">
      <c r="A866" s="18" t="s">
        <v>1812</v>
      </c>
      <c r="B866" s="23"/>
      <c r="C866" s="8"/>
      <c r="D866" s="25" t="s">
        <v>2440</v>
      </c>
      <c r="E866" s="12" t="s">
        <v>1676</v>
      </c>
      <c r="F866" s="18" t="s">
        <v>1779</v>
      </c>
      <c r="G866" s="8">
        <v>2000</v>
      </c>
      <c r="H866" s="8"/>
      <c r="I866" s="8"/>
      <c r="J866" s="8">
        <v>0</v>
      </c>
      <c r="K866" s="8">
        <f>+G866+H866-I866+J866</f>
        <v>2000</v>
      </c>
      <c r="L866" s="8"/>
      <c r="M866" s="9"/>
      <c r="N866" s="9">
        <f>+L866*M866</f>
        <v>0</v>
      </c>
      <c r="O866" s="9"/>
      <c r="P866" s="9"/>
      <c r="Q866" s="10" t="s">
        <v>1887</v>
      </c>
    </row>
    <row r="867" spans="1:17" s="11" customFormat="1" ht="20.25" x14ac:dyDescent="0.3">
      <c r="A867" s="18" t="s">
        <v>1813</v>
      </c>
      <c r="B867" s="23">
        <v>45803</v>
      </c>
      <c r="C867" s="8">
        <v>10</v>
      </c>
      <c r="D867" s="25" t="s">
        <v>2318</v>
      </c>
      <c r="E867" s="12" t="s">
        <v>2004</v>
      </c>
      <c r="F867" s="18" t="s">
        <v>1779</v>
      </c>
      <c r="G867" s="8"/>
      <c r="H867" s="8">
        <v>3</v>
      </c>
      <c r="I867" s="8"/>
      <c r="J867" s="8"/>
      <c r="K867" s="8">
        <f>+G867+H867-I867+J867</f>
        <v>3</v>
      </c>
      <c r="L867" s="8">
        <v>3</v>
      </c>
      <c r="M867" s="9">
        <v>879</v>
      </c>
      <c r="N867" s="9">
        <f>+K867*M867</f>
        <v>2637</v>
      </c>
      <c r="O867" s="9"/>
      <c r="P867" s="9"/>
      <c r="Q867" s="10" t="s">
        <v>1191</v>
      </c>
    </row>
    <row r="868" spans="1:17" s="11" customFormat="1" ht="20.25" x14ac:dyDescent="0.3">
      <c r="A868" s="18" t="s">
        <v>1814</v>
      </c>
      <c r="B868" s="23"/>
      <c r="C868" s="8"/>
      <c r="D868" s="25" t="s">
        <v>2318</v>
      </c>
      <c r="E868" s="12" t="s">
        <v>467</v>
      </c>
      <c r="F868" s="18" t="s">
        <v>1779</v>
      </c>
      <c r="G868" s="8">
        <v>1</v>
      </c>
      <c r="H868" s="8"/>
      <c r="I868" s="8"/>
      <c r="J868" s="8"/>
      <c r="K868" s="8">
        <f>+G868+H868+-I868</f>
        <v>1</v>
      </c>
      <c r="L868" s="8"/>
      <c r="M868" s="9">
        <v>1209</v>
      </c>
      <c r="N868" s="9">
        <f>+K868*M868</f>
        <v>1209</v>
      </c>
      <c r="O868" s="9"/>
      <c r="P868" s="9"/>
      <c r="Q868" s="10" t="s">
        <v>433</v>
      </c>
    </row>
    <row r="869" spans="1:17" s="11" customFormat="1" ht="40.5" x14ac:dyDescent="0.3">
      <c r="A869" s="18" t="s">
        <v>1815</v>
      </c>
      <c r="B869" s="23"/>
      <c r="C869" s="8"/>
      <c r="D869" s="25" t="s">
        <v>2440</v>
      </c>
      <c r="E869" s="12" t="s">
        <v>1683</v>
      </c>
      <c r="F869" s="18" t="s">
        <v>1779</v>
      </c>
      <c r="G869" s="8">
        <v>71</v>
      </c>
      <c r="H869" s="8"/>
      <c r="I869" s="8"/>
      <c r="J869" s="8">
        <v>0</v>
      </c>
      <c r="K869" s="8">
        <f>+G869+H869-I869+J869</f>
        <v>71</v>
      </c>
      <c r="L869" s="8"/>
      <c r="M869" s="9">
        <v>1078</v>
      </c>
      <c r="N869" s="9">
        <f>+L869*M869</f>
        <v>0</v>
      </c>
      <c r="O869" s="9"/>
      <c r="P869" s="9"/>
      <c r="Q869" s="10" t="s">
        <v>1887</v>
      </c>
    </row>
    <row r="870" spans="1:17" s="11" customFormat="1" ht="40.5" x14ac:dyDescent="0.3">
      <c r="A870" s="18" t="s">
        <v>1816</v>
      </c>
      <c r="B870" s="19">
        <v>45783</v>
      </c>
      <c r="C870" s="20"/>
      <c r="D870" s="53" t="s">
        <v>2318</v>
      </c>
      <c r="E870" s="12" t="s">
        <v>2416</v>
      </c>
      <c r="F870" s="21" t="s">
        <v>1779</v>
      </c>
      <c r="G870" s="8"/>
      <c r="H870" s="8">
        <v>5</v>
      </c>
      <c r="I870" s="8"/>
      <c r="J870" s="8"/>
      <c r="K870" s="8">
        <f>+G870+H870-I870+J870</f>
        <v>5</v>
      </c>
      <c r="L870" s="8"/>
      <c r="M870" s="9">
        <v>295</v>
      </c>
      <c r="N870" s="9">
        <f t="shared" ref="N870:N876" si="82">+K870*M870</f>
        <v>1475</v>
      </c>
      <c r="O870" s="9"/>
      <c r="P870" s="9"/>
      <c r="Q870" s="10" t="s">
        <v>159</v>
      </c>
    </row>
    <row r="871" spans="1:17" s="11" customFormat="1" ht="20.25" x14ac:dyDescent="0.3">
      <c r="A871" s="18" t="s">
        <v>1817</v>
      </c>
      <c r="B871" s="23"/>
      <c r="C871" s="8"/>
      <c r="D871" s="24" t="s">
        <v>2387</v>
      </c>
      <c r="E871" s="12" t="s">
        <v>388</v>
      </c>
      <c r="F871" s="18" t="s">
        <v>1779</v>
      </c>
      <c r="G871" s="8">
        <v>1</v>
      </c>
      <c r="H871" s="8"/>
      <c r="I871" s="8"/>
      <c r="J871" s="8"/>
      <c r="K871" s="8">
        <f>+G871+H871+-I871</f>
        <v>1</v>
      </c>
      <c r="L871" s="8"/>
      <c r="M871" s="9">
        <v>480</v>
      </c>
      <c r="N871" s="9">
        <f t="shared" si="82"/>
        <v>480</v>
      </c>
      <c r="O871" s="9"/>
      <c r="P871" s="9"/>
      <c r="Q871" s="10" t="s">
        <v>18</v>
      </c>
    </row>
    <row r="872" spans="1:17" s="11" customFormat="1" ht="20.25" x14ac:dyDescent="0.3">
      <c r="A872" s="18" t="s">
        <v>1829</v>
      </c>
      <c r="B872" s="23">
        <v>45414</v>
      </c>
      <c r="C872" s="8"/>
      <c r="D872" s="24" t="s">
        <v>2387</v>
      </c>
      <c r="E872" s="12" t="s">
        <v>1621</v>
      </c>
      <c r="F872" s="18" t="s">
        <v>1779</v>
      </c>
      <c r="G872" s="8">
        <v>19</v>
      </c>
      <c r="H872" s="8"/>
      <c r="I872" s="8">
        <f>2+1+2+1</f>
        <v>6</v>
      </c>
      <c r="J872" s="8"/>
      <c r="K872" s="8">
        <f>+G872+H872-I872</f>
        <v>13</v>
      </c>
      <c r="L872" s="8">
        <v>13</v>
      </c>
      <c r="M872" s="9">
        <v>90.86</v>
      </c>
      <c r="N872" s="9">
        <f t="shared" si="82"/>
        <v>1181.18</v>
      </c>
      <c r="O872" s="9"/>
      <c r="P872" s="9"/>
      <c r="Q872" s="10" t="s">
        <v>18</v>
      </c>
    </row>
    <row r="873" spans="1:17" s="11" customFormat="1" ht="20.25" x14ac:dyDescent="0.3">
      <c r="A873" s="18" t="s">
        <v>1830</v>
      </c>
      <c r="B873" s="23">
        <v>45414</v>
      </c>
      <c r="C873" s="8"/>
      <c r="D873" s="24" t="s">
        <v>2387</v>
      </c>
      <c r="E873" s="12" t="s">
        <v>1577</v>
      </c>
      <c r="F873" s="18" t="s">
        <v>1779</v>
      </c>
      <c r="G873" s="8">
        <v>13</v>
      </c>
      <c r="H873" s="8"/>
      <c r="I873" s="8">
        <f>1+3+2+2+2+3</f>
        <v>13</v>
      </c>
      <c r="J873" s="8"/>
      <c r="K873" s="8">
        <f>+G873+H873-I873</f>
        <v>0</v>
      </c>
      <c r="L873" s="8"/>
      <c r="M873" s="9">
        <v>90.86</v>
      </c>
      <c r="N873" s="9">
        <f t="shared" si="82"/>
        <v>0</v>
      </c>
      <c r="O873" s="9"/>
      <c r="P873" s="9"/>
      <c r="Q873" s="10" t="s">
        <v>18</v>
      </c>
    </row>
    <row r="874" spans="1:17" s="11" customFormat="1" ht="20.25" x14ac:dyDescent="0.3">
      <c r="A874" s="18" t="s">
        <v>1831</v>
      </c>
      <c r="B874" s="23">
        <v>45414</v>
      </c>
      <c r="C874" s="8"/>
      <c r="D874" s="24" t="s">
        <v>2387</v>
      </c>
      <c r="E874" s="12" t="s">
        <v>1497</v>
      </c>
      <c r="F874" s="18" t="s">
        <v>1779</v>
      </c>
      <c r="G874" s="8"/>
      <c r="H874" s="8">
        <v>100</v>
      </c>
      <c r="I874" s="8">
        <v>1</v>
      </c>
      <c r="J874" s="8"/>
      <c r="K874" s="8">
        <f>+G874+H874-I874+J874</f>
        <v>99</v>
      </c>
      <c r="L874" s="8">
        <v>80</v>
      </c>
      <c r="M874" s="9">
        <v>114.224</v>
      </c>
      <c r="N874" s="9">
        <f t="shared" si="82"/>
        <v>11308.175999999999</v>
      </c>
      <c r="O874" s="9"/>
      <c r="P874" s="9"/>
      <c r="Q874" s="10" t="s">
        <v>18</v>
      </c>
    </row>
    <row r="875" spans="1:17" s="11" customFormat="1" ht="20.25" x14ac:dyDescent="0.3">
      <c r="A875" s="18" t="s">
        <v>1832</v>
      </c>
      <c r="B875" s="23">
        <v>45414</v>
      </c>
      <c r="C875" s="8"/>
      <c r="D875" s="24" t="s">
        <v>2387</v>
      </c>
      <c r="E875" s="12" t="s">
        <v>1554</v>
      </c>
      <c r="F875" s="18" t="s">
        <v>1779</v>
      </c>
      <c r="G875" s="8"/>
      <c r="H875" s="8">
        <v>100</v>
      </c>
      <c r="I875" s="8">
        <f>2+2+3+4+2+3+4+9+2+3+2+3+2+4</f>
        <v>45</v>
      </c>
      <c r="J875" s="8"/>
      <c r="K875" s="8">
        <f>+G875+H875-I875+J875</f>
        <v>55</v>
      </c>
      <c r="L875" s="8">
        <v>44</v>
      </c>
      <c r="M875" s="9">
        <v>68.44</v>
      </c>
      <c r="N875" s="9">
        <f t="shared" si="82"/>
        <v>3764.2</v>
      </c>
      <c r="O875" s="9"/>
      <c r="P875" s="9"/>
      <c r="Q875" s="10" t="s">
        <v>18</v>
      </c>
    </row>
    <row r="876" spans="1:17" s="11" customFormat="1" ht="20.25" x14ac:dyDescent="0.3">
      <c r="A876" s="18" t="s">
        <v>1833</v>
      </c>
      <c r="B876" s="23"/>
      <c r="C876" s="8"/>
      <c r="D876" s="53" t="s">
        <v>2394</v>
      </c>
      <c r="E876" s="12" t="s">
        <v>89</v>
      </c>
      <c r="F876" s="18" t="s">
        <v>1779</v>
      </c>
      <c r="G876" s="8">
        <v>13</v>
      </c>
      <c r="H876" s="8"/>
      <c r="I876" s="8">
        <v>2</v>
      </c>
      <c r="J876" s="8"/>
      <c r="K876" s="8">
        <f>+G876+H876-I876</f>
        <v>11</v>
      </c>
      <c r="L876" s="8"/>
      <c r="M876" s="9">
        <v>143</v>
      </c>
      <c r="N876" s="9">
        <f t="shared" si="82"/>
        <v>1573</v>
      </c>
      <c r="O876" s="9"/>
      <c r="P876" s="9"/>
      <c r="Q876" s="10" t="s">
        <v>25</v>
      </c>
    </row>
    <row r="877" spans="1:17" s="11" customFormat="1" ht="20.25" x14ac:dyDescent="0.3">
      <c r="A877" s="18" t="s">
        <v>1834</v>
      </c>
      <c r="B877" s="23">
        <v>45797</v>
      </c>
      <c r="C877" s="8">
        <v>10</v>
      </c>
      <c r="D877" s="25" t="s">
        <v>2390</v>
      </c>
      <c r="E877" s="12" t="s">
        <v>1845</v>
      </c>
      <c r="F877" s="18" t="s">
        <v>1846</v>
      </c>
      <c r="G877" s="8"/>
      <c r="H877" s="8">
        <v>100</v>
      </c>
      <c r="I877" s="8">
        <v>100</v>
      </c>
      <c r="J877" s="8">
        <f>+G877+H877-I877</f>
        <v>0</v>
      </c>
      <c r="K877" s="8">
        <f>+G877+H877-I877+J877</f>
        <v>0</v>
      </c>
      <c r="L877" s="8"/>
      <c r="M877" s="9">
        <v>34500</v>
      </c>
      <c r="N877" s="9">
        <f>+L877*M877</f>
        <v>0</v>
      </c>
      <c r="O877" s="9"/>
      <c r="P877" s="9"/>
      <c r="Q877" s="10" t="s">
        <v>1648</v>
      </c>
    </row>
    <row r="878" spans="1:17" s="11" customFormat="1" ht="20.25" x14ac:dyDescent="0.3">
      <c r="A878" s="18" t="s">
        <v>1835</v>
      </c>
      <c r="B878" s="23" t="s">
        <v>1723</v>
      </c>
      <c r="C878" s="8"/>
      <c r="D878" s="24" t="s">
        <v>2389</v>
      </c>
      <c r="E878" s="12" t="s">
        <v>1735</v>
      </c>
      <c r="F878" s="18" t="s">
        <v>1779</v>
      </c>
      <c r="G878" s="8"/>
      <c r="H878" s="8">
        <v>10</v>
      </c>
      <c r="I878" s="8">
        <f>2+2+2+2+2</f>
        <v>10</v>
      </c>
      <c r="J878" s="8"/>
      <c r="K878" s="8">
        <f t="shared" ref="K878:K884" si="83">+G878+H878+-I878</f>
        <v>0</v>
      </c>
      <c r="L878" s="8"/>
      <c r="M878" s="9">
        <v>443</v>
      </c>
      <c r="N878" s="9">
        <f t="shared" ref="N878:N884" si="84">+K878*M878</f>
        <v>0</v>
      </c>
      <c r="O878" s="9"/>
      <c r="P878" s="9"/>
      <c r="Q878" s="10" t="s">
        <v>18</v>
      </c>
    </row>
    <row r="879" spans="1:17" s="11" customFormat="1" ht="40.5" x14ac:dyDescent="0.3">
      <c r="A879" s="18" t="s">
        <v>1836</v>
      </c>
      <c r="B879" s="23"/>
      <c r="C879" s="8"/>
      <c r="D879" s="25" t="s">
        <v>2394</v>
      </c>
      <c r="E879" s="12" t="s">
        <v>191</v>
      </c>
      <c r="F879" s="18" t="s">
        <v>1779</v>
      </c>
      <c r="G879" s="8">
        <f>11+12</f>
        <v>23</v>
      </c>
      <c r="H879" s="8"/>
      <c r="I879" s="8">
        <v>2</v>
      </c>
      <c r="J879" s="8"/>
      <c r="K879" s="8">
        <f t="shared" si="83"/>
        <v>21</v>
      </c>
      <c r="L879" s="8"/>
      <c r="M879" s="9">
        <v>143</v>
      </c>
      <c r="N879" s="9">
        <f t="shared" si="84"/>
        <v>3003</v>
      </c>
      <c r="O879" s="9"/>
      <c r="P879" s="9"/>
      <c r="Q879" s="10" t="s">
        <v>159</v>
      </c>
    </row>
    <row r="880" spans="1:17" s="11" customFormat="1" ht="20.25" x14ac:dyDescent="0.3">
      <c r="A880" s="18" t="s">
        <v>1837</v>
      </c>
      <c r="B880" s="23"/>
      <c r="C880" s="8"/>
      <c r="D880" s="25" t="s">
        <v>2385</v>
      </c>
      <c r="E880" s="12" t="s">
        <v>389</v>
      </c>
      <c r="F880" s="18" t="s">
        <v>1779</v>
      </c>
      <c r="G880" s="8">
        <v>41</v>
      </c>
      <c r="H880" s="8"/>
      <c r="I880" s="8">
        <v>1</v>
      </c>
      <c r="J880" s="8"/>
      <c r="K880" s="8">
        <f t="shared" si="83"/>
        <v>40</v>
      </c>
      <c r="L880" s="8"/>
      <c r="M880" s="9"/>
      <c r="N880" s="9">
        <f t="shared" si="84"/>
        <v>0</v>
      </c>
      <c r="O880" s="9"/>
      <c r="P880" s="9"/>
      <c r="Q880" s="10" t="s">
        <v>297</v>
      </c>
    </row>
    <row r="881" spans="1:17" s="11" customFormat="1" ht="40.5" x14ac:dyDescent="0.3">
      <c r="A881" s="18" t="s">
        <v>1838</v>
      </c>
      <c r="B881" s="23"/>
      <c r="C881" s="8"/>
      <c r="D881" s="25" t="s">
        <v>2320</v>
      </c>
      <c r="E881" s="12" t="s">
        <v>192</v>
      </c>
      <c r="F881" s="18" t="s">
        <v>1779</v>
      </c>
      <c r="G881" s="8">
        <v>1</v>
      </c>
      <c r="H881" s="8"/>
      <c r="I881" s="8"/>
      <c r="J881" s="8"/>
      <c r="K881" s="8">
        <f t="shared" si="83"/>
        <v>1</v>
      </c>
      <c r="L881" s="8"/>
      <c r="M881" s="9">
        <v>79</v>
      </c>
      <c r="N881" s="9">
        <f t="shared" si="84"/>
        <v>79</v>
      </c>
      <c r="O881" s="9"/>
      <c r="P881" s="9"/>
      <c r="Q881" s="10" t="s">
        <v>159</v>
      </c>
    </row>
    <row r="882" spans="1:17" s="11" customFormat="1" ht="20.25" x14ac:dyDescent="0.3">
      <c r="A882" s="18" t="s">
        <v>1839</v>
      </c>
      <c r="B882" s="23" t="s">
        <v>220</v>
      </c>
      <c r="C882" s="8"/>
      <c r="D882" s="25" t="s">
        <v>2385</v>
      </c>
      <c r="E882" s="12" t="s">
        <v>390</v>
      </c>
      <c r="F882" s="18" t="s">
        <v>1779</v>
      </c>
      <c r="G882" s="8">
        <v>1</v>
      </c>
      <c r="H882" s="8"/>
      <c r="I882" s="8"/>
      <c r="J882" s="8"/>
      <c r="K882" s="8">
        <f t="shared" si="83"/>
        <v>1</v>
      </c>
      <c r="L882" s="8"/>
      <c r="M882" s="9">
        <v>665</v>
      </c>
      <c r="N882" s="9">
        <f t="shared" si="84"/>
        <v>665</v>
      </c>
      <c r="O882" s="9"/>
      <c r="P882" s="9"/>
      <c r="Q882" s="10" t="s">
        <v>297</v>
      </c>
    </row>
    <row r="883" spans="1:17" s="11" customFormat="1" ht="20.25" x14ac:dyDescent="0.3">
      <c r="A883" s="18" t="s">
        <v>1840</v>
      </c>
      <c r="B883" s="23">
        <v>44193</v>
      </c>
      <c r="C883" s="8"/>
      <c r="D883" s="25" t="s">
        <v>2385</v>
      </c>
      <c r="E883" s="12" t="s">
        <v>426</v>
      </c>
      <c r="F883" s="18" t="s">
        <v>1779</v>
      </c>
      <c r="G883" s="8">
        <v>16</v>
      </c>
      <c r="H883" s="8"/>
      <c r="I883" s="8">
        <v>1</v>
      </c>
      <c r="J883" s="8"/>
      <c r="K883" s="8">
        <f t="shared" si="83"/>
        <v>15</v>
      </c>
      <c r="L883" s="8"/>
      <c r="M883" s="9">
        <v>68.23</v>
      </c>
      <c r="N883" s="9">
        <f t="shared" si="84"/>
        <v>1023.45</v>
      </c>
      <c r="O883" s="9"/>
      <c r="P883" s="9"/>
      <c r="Q883" s="10" t="s">
        <v>297</v>
      </c>
    </row>
    <row r="884" spans="1:17" s="11" customFormat="1" ht="20.25" x14ac:dyDescent="0.3">
      <c r="A884" s="18" t="s">
        <v>1841</v>
      </c>
      <c r="B884" s="23" t="s">
        <v>4</v>
      </c>
      <c r="C884" s="8"/>
      <c r="D884" s="25" t="s">
        <v>2385</v>
      </c>
      <c r="E884" s="12" t="s">
        <v>391</v>
      </c>
      <c r="F884" s="18" t="s">
        <v>1779</v>
      </c>
      <c r="G884" s="8">
        <v>19</v>
      </c>
      <c r="H884" s="8"/>
      <c r="I884" s="8"/>
      <c r="J884" s="8"/>
      <c r="K884" s="8">
        <f t="shared" si="83"/>
        <v>19</v>
      </c>
      <c r="L884" s="8"/>
      <c r="M884" s="9">
        <v>68.23</v>
      </c>
      <c r="N884" s="9">
        <f t="shared" si="84"/>
        <v>1296.3700000000001</v>
      </c>
      <c r="O884" s="9"/>
      <c r="P884" s="9"/>
      <c r="Q884" s="10" t="s">
        <v>297</v>
      </c>
    </row>
    <row r="885" spans="1:17" s="11" customFormat="1" ht="40.5" x14ac:dyDescent="0.3">
      <c r="A885" s="18" t="s">
        <v>1842</v>
      </c>
      <c r="B885" s="23" t="s">
        <v>1581</v>
      </c>
      <c r="C885" s="8"/>
      <c r="D885" s="25" t="s">
        <v>2440</v>
      </c>
      <c r="E885" s="12" t="s">
        <v>1698</v>
      </c>
      <c r="F885" s="18" t="s">
        <v>1779</v>
      </c>
      <c r="G885" s="8"/>
      <c r="H885" s="8">
        <v>8</v>
      </c>
      <c r="I885" s="8">
        <f>2+1+2+1</f>
        <v>6</v>
      </c>
      <c r="J885" s="8">
        <v>0</v>
      </c>
      <c r="K885" s="8">
        <f>+G885+H885-I885+J885</f>
        <v>2</v>
      </c>
      <c r="L885" s="8"/>
      <c r="M885" s="9">
        <v>146.91</v>
      </c>
      <c r="N885" s="9">
        <f>+L885*M885</f>
        <v>0</v>
      </c>
      <c r="O885" s="9"/>
      <c r="P885" s="9"/>
      <c r="Q885" s="10" t="s">
        <v>1887</v>
      </c>
    </row>
    <row r="886" spans="1:17" s="11" customFormat="1" ht="20.25" x14ac:dyDescent="0.3">
      <c r="A886" s="18" t="s">
        <v>1868</v>
      </c>
      <c r="B886" s="23">
        <v>45799</v>
      </c>
      <c r="C886" s="8">
        <v>10</v>
      </c>
      <c r="D886" s="25" t="s">
        <v>2318</v>
      </c>
      <c r="E886" s="12" t="s">
        <v>1855</v>
      </c>
      <c r="F886" s="18" t="s">
        <v>1779</v>
      </c>
      <c r="G886" s="8"/>
      <c r="H886" s="8">
        <v>70</v>
      </c>
      <c r="I886" s="8"/>
      <c r="J886" s="8"/>
      <c r="K886" s="8">
        <f>+G886+H886+-I886</f>
        <v>70</v>
      </c>
      <c r="L886" s="8"/>
      <c r="M886" s="9">
        <v>65</v>
      </c>
      <c r="N886" s="9">
        <f t="shared" ref="N886:N894" si="85">+K886*M886</f>
        <v>4550</v>
      </c>
      <c r="O886" s="9"/>
      <c r="P886" s="9"/>
      <c r="Q886" s="10" t="s">
        <v>1191</v>
      </c>
    </row>
    <row r="887" spans="1:17" s="11" customFormat="1" ht="20.25" x14ac:dyDescent="0.3">
      <c r="A887" s="18" t="s">
        <v>1869</v>
      </c>
      <c r="B887" s="23" t="s">
        <v>4</v>
      </c>
      <c r="C887" s="8"/>
      <c r="D887" s="25" t="s">
        <v>2318</v>
      </c>
      <c r="E887" s="12" t="s">
        <v>115</v>
      </c>
      <c r="F887" s="18" t="s">
        <v>1779</v>
      </c>
      <c r="G887" s="8">
        <f>29-1</f>
        <v>28</v>
      </c>
      <c r="H887" s="8"/>
      <c r="I887" s="8">
        <f>1+1+2+1+1+1+1+1+1+1+1+1+1+1+1+1+3+1+1+1</f>
        <v>23</v>
      </c>
      <c r="J887" s="8"/>
      <c r="K887" s="8">
        <f>+G887+H887-I887</f>
        <v>5</v>
      </c>
      <c r="L887" s="8"/>
      <c r="M887" s="9">
        <v>212.93</v>
      </c>
      <c r="N887" s="9">
        <f t="shared" si="85"/>
        <v>1064.6500000000001</v>
      </c>
      <c r="O887" s="9"/>
      <c r="P887" s="9"/>
      <c r="Q887" s="10" t="s">
        <v>109</v>
      </c>
    </row>
    <row r="888" spans="1:17" s="11" customFormat="1" ht="40.5" x14ac:dyDescent="0.3">
      <c r="A888" s="18" t="s">
        <v>1870</v>
      </c>
      <c r="B888" s="19" t="s">
        <v>2303</v>
      </c>
      <c r="C888" s="20"/>
      <c r="D888" s="53" t="s">
        <v>2394</v>
      </c>
      <c r="E888" s="12" t="s">
        <v>2502</v>
      </c>
      <c r="F888" s="18" t="s">
        <v>1779</v>
      </c>
      <c r="G888" s="8"/>
      <c r="H888" s="8">
        <v>18</v>
      </c>
      <c r="I888" s="8"/>
      <c r="J888" s="8"/>
      <c r="K888" s="8">
        <f>+G888+H888-I888+J888</f>
        <v>18</v>
      </c>
      <c r="L888" s="8"/>
      <c r="M888" s="9">
        <v>299.92</v>
      </c>
      <c r="N888" s="9">
        <f t="shared" si="85"/>
        <v>5398.56</v>
      </c>
      <c r="O888" s="9"/>
      <c r="P888" s="9"/>
      <c r="Q888" s="10" t="s">
        <v>25</v>
      </c>
    </row>
    <row r="889" spans="1:17" s="11" customFormat="1" ht="40.5" x14ac:dyDescent="0.3">
      <c r="A889" s="18" t="s">
        <v>1871</v>
      </c>
      <c r="B889" s="23" t="s">
        <v>4</v>
      </c>
      <c r="C889" s="8"/>
      <c r="D889" s="25" t="s">
        <v>2438</v>
      </c>
      <c r="E889" s="12" t="s">
        <v>1481</v>
      </c>
      <c r="F889" s="18" t="s">
        <v>1779</v>
      </c>
      <c r="G889" s="8"/>
      <c r="H889" s="8">
        <v>60</v>
      </c>
      <c r="I889" s="8">
        <f>10+2+7+1+2</f>
        <v>22</v>
      </c>
      <c r="J889" s="8"/>
      <c r="K889" s="8">
        <f>+G889+H889-I889+J889</f>
        <v>38</v>
      </c>
      <c r="L889" s="8"/>
      <c r="M889" s="9">
        <v>230.1</v>
      </c>
      <c r="N889" s="9">
        <f t="shared" si="85"/>
        <v>8743.7999999999993</v>
      </c>
      <c r="O889" s="9"/>
      <c r="P889" s="9"/>
      <c r="Q889" s="10" t="s">
        <v>235</v>
      </c>
    </row>
    <row r="890" spans="1:17" s="11" customFormat="1" ht="40.5" x14ac:dyDescent="0.3">
      <c r="A890" s="18" t="s">
        <v>1872</v>
      </c>
      <c r="B890" s="23" t="s">
        <v>4</v>
      </c>
      <c r="C890" s="8"/>
      <c r="D890" s="25" t="s">
        <v>2438</v>
      </c>
      <c r="E890" s="12" t="s">
        <v>279</v>
      </c>
      <c r="F890" s="18" t="s">
        <v>1779</v>
      </c>
      <c r="G890" s="8">
        <v>25</v>
      </c>
      <c r="H890" s="8"/>
      <c r="I890" s="8">
        <v>6</v>
      </c>
      <c r="J890" s="8"/>
      <c r="K890" s="8">
        <f>+G890+H890+-I890</f>
        <v>19</v>
      </c>
      <c r="L890" s="8"/>
      <c r="M890" s="9">
        <v>845</v>
      </c>
      <c r="N890" s="9">
        <f t="shared" si="85"/>
        <v>16055</v>
      </c>
      <c r="O890" s="9"/>
      <c r="P890" s="9"/>
      <c r="Q890" s="10" t="s">
        <v>235</v>
      </c>
    </row>
    <row r="891" spans="1:17" s="11" customFormat="1" ht="40.5" x14ac:dyDescent="0.3">
      <c r="A891" s="18" t="s">
        <v>1873</v>
      </c>
      <c r="B891" s="23" t="s">
        <v>4</v>
      </c>
      <c r="C891" s="8"/>
      <c r="D891" s="25" t="s">
        <v>2438</v>
      </c>
      <c r="E891" s="12" t="s">
        <v>280</v>
      </c>
      <c r="F891" s="18" t="s">
        <v>1779</v>
      </c>
      <c r="G891" s="8">
        <v>18</v>
      </c>
      <c r="H891" s="8"/>
      <c r="I891" s="8"/>
      <c r="J891" s="8"/>
      <c r="K891" s="8">
        <f>+G891+H891+-I891</f>
        <v>18</v>
      </c>
      <c r="L891" s="8"/>
      <c r="M891" s="9">
        <v>336.3</v>
      </c>
      <c r="N891" s="9">
        <f t="shared" si="85"/>
        <v>6053.4000000000005</v>
      </c>
      <c r="O891" s="9"/>
      <c r="P891" s="9"/>
      <c r="Q891" s="10" t="s">
        <v>235</v>
      </c>
    </row>
    <row r="892" spans="1:17" s="11" customFormat="1" ht="40.5" x14ac:dyDescent="0.3">
      <c r="A892" s="18" t="s">
        <v>1874</v>
      </c>
      <c r="B892" s="23" t="s">
        <v>4</v>
      </c>
      <c r="C892" s="8"/>
      <c r="D892" s="25" t="s">
        <v>2438</v>
      </c>
      <c r="E892" s="12" t="s">
        <v>243</v>
      </c>
      <c r="F892" s="18" t="s">
        <v>1779</v>
      </c>
      <c r="G892" s="8">
        <v>4</v>
      </c>
      <c r="H892" s="8"/>
      <c r="I892" s="8"/>
      <c r="J892" s="8"/>
      <c r="K892" s="8">
        <f>+G892+H892+-I892</f>
        <v>4</v>
      </c>
      <c r="L892" s="8"/>
      <c r="M892" s="9">
        <v>530</v>
      </c>
      <c r="N892" s="9">
        <f t="shared" si="85"/>
        <v>2120</v>
      </c>
      <c r="O892" s="9"/>
      <c r="P892" s="9"/>
      <c r="Q892" s="10" t="s">
        <v>235</v>
      </c>
    </row>
    <row r="893" spans="1:17" s="11" customFormat="1" ht="39.950000000000003" customHeight="1" x14ac:dyDescent="0.3">
      <c r="A893" s="18" t="s">
        <v>1875</v>
      </c>
      <c r="B893" s="23" t="s">
        <v>4</v>
      </c>
      <c r="C893" s="8"/>
      <c r="D893" s="25" t="s">
        <v>2438</v>
      </c>
      <c r="E893" s="12" t="s">
        <v>244</v>
      </c>
      <c r="F893" s="18" t="s">
        <v>1779</v>
      </c>
      <c r="G893" s="8">
        <v>16</v>
      </c>
      <c r="H893" s="8"/>
      <c r="I893" s="8">
        <v>2</v>
      </c>
      <c r="J893" s="8"/>
      <c r="K893" s="8">
        <f>+G893+H893+-I893</f>
        <v>14</v>
      </c>
      <c r="L893" s="8"/>
      <c r="M893" s="9">
        <v>530</v>
      </c>
      <c r="N893" s="9">
        <f t="shared" si="85"/>
        <v>7420</v>
      </c>
      <c r="O893" s="9"/>
      <c r="P893" s="9"/>
      <c r="Q893" s="10" t="s">
        <v>235</v>
      </c>
    </row>
    <row r="894" spans="1:17" s="11" customFormat="1" ht="40.5" x14ac:dyDescent="0.3">
      <c r="A894" s="18" t="s">
        <v>1876</v>
      </c>
      <c r="B894" s="23" t="s">
        <v>4</v>
      </c>
      <c r="C894" s="8"/>
      <c r="D894" s="25"/>
      <c r="E894" s="12" t="s">
        <v>517</v>
      </c>
      <c r="F894" s="18" t="s">
        <v>1779</v>
      </c>
      <c r="G894" s="8">
        <v>1</v>
      </c>
      <c r="H894" s="8"/>
      <c r="I894" s="8"/>
      <c r="J894" s="8"/>
      <c r="K894" s="8">
        <f>+G894+H894+-I894</f>
        <v>1</v>
      </c>
      <c r="L894" s="8"/>
      <c r="M894" s="9">
        <v>8300</v>
      </c>
      <c r="N894" s="9">
        <f t="shared" si="85"/>
        <v>8300</v>
      </c>
      <c r="O894" s="9"/>
      <c r="P894" s="9"/>
      <c r="Q894" s="10" t="s">
        <v>500</v>
      </c>
    </row>
    <row r="895" spans="1:17" s="11" customFormat="1" ht="39.950000000000003" customHeight="1" x14ac:dyDescent="0.3">
      <c r="A895" s="18" t="s">
        <v>1877</v>
      </c>
      <c r="B895" s="23"/>
      <c r="C895" s="8"/>
      <c r="D895" s="25"/>
      <c r="E895" s="12" t="s">
        <v>1659</v>
      </c>
      <c r="F895" s="18" t="s">
        <v>1780</v>
      </c>
      <c r="G895" s="8">
        <v>0.5</v>
      </c>
      <c r="H895" s="8"/>
      <c r="I895" s="8"/>
      <c r="J895" s="8">
        <v>0</v>
      </c>
      <c r="K895" s="8">
        <f>+G895+H895-I895+J895</f>
        <v>0.5</v>
      </c>
      <c r="L895" s="8"/>
      <c r="M895" s="9">
        <v>427</v>
      </c>
      <c r="N895" s="9">
        <f>+L895*M895</f>
        <v>0</v>
      </c>
      <c r="O895" s="9"/>
      <c r="P895" s="9"/>
      <c r="Q895" s="10" t="s">
        <v>1887</v>
      </c>
    </row>
    <row r="896" spans="1:17" s="11" customFormat="1" ht="39.950000000000003" customHeight="1" x14ac:dyDescent="0.3">
      <c r="A896" s="18" t="s">
        <v>1878</v>
      </c>
      <c r="B896" s="23" t="s">
        <v>4</v>
      </c>
      <c r="C896" s="8"/>
      <c r="D896" s="25"/>
      <c r="E896" s="12" t="s">
        <v>193</v>
      </c>
      <c r="F896" s="18" t="s">
        <v>1779</v>
      </c>
      <c r="G896" s="8">
        <v>3</v>
      </c>
      <c r="H896" s="8"/>
      <c r="I896" s="8"/>
      <c r="J896" s="8"/>
      <c r="K896" s="8">
        <f>+G896+H896+-I896</f>
        <v>3</v>
      </c>
      <c r="L896" s="8"/>
      <c r="M896" s="9"/>
      <c r="N896" s="9">
        <f>+K896*M896</f>
        <v>0</v>
      </c>
      <c r="O896" s="9"/>
      <c r="P896" s="9"/>
      <c r="Q896" s="10" t="s">
        <v>159</v>
      </c>
    </row>
    <row r="897" spans="1:17" s="11" customFormat="1" ht="39.950000000000003" customHeight="1" x14ac:dyDescent="0.3">
      <c r="A897" s="18" t="s">
        <v>1879</v>
      </c>
      <c r="B897" s="23" t="s">
        <v>4</v>
      </c>
      <c r="C897" s="8"/>
      <c r="D897" s="25" t="s">
        <v>2438</v>
      </c>
      <c r="E897" s="12" t="s">
        <v>281</v>
      </c>
      <c r="F897" s="18" t="s">
        <v>1779</v>
      </c>
      <c r="G897" s="8">
        <v>30</v>
      </c>
      <c r="H897" s="8"/>
      <c r="I897" s="8"/>
      <c r="J897" s="8"/>
      <c r="K897" s="8">
        <f>+G897+H897+-I897</f>
        <v>30</v>
      </c>
      <c r="L897" s="8"/>
      <c r="M897" s="9">
        <v>275</v>
      </c>
      <c r="N897" s="9">
        <f>+K897*M897</f>
        <v>8250</v>
      </c>
      <c r="O897" s="9"/>
      <c r="P897" s="9"/>
      <c r="Q897" s="10" t="s">
        <v>235</v>
      </c>
    </row>
    <row r="898" spans="1:17" s="11" customFormat="1" ht="39.950000000000003" customHeight="1" x14ac:dyDescent="0.3">
      <c r="A898" s="18" t="s">
        <v>1880</v>
      </c>
      <c r="B898" s="23" t="s">
        <v>4</v>
      </c>
      <c r="C898" s="8"/>
      <c r="D898" s="25" t="s">
        <v>2326</v>
      </c>
      <c r="E898" s="12" t="s">
        <v>134</v>
      </c>
      <c r="F898" s="18" t="s">
        <v>1779</v>
      </c>
      <c r="G898" s="8">
        <v>1</v>
      </c>
      <c r="H898" s="8"/>
      <c r="I898" s="8"/>
      <c r="J898" s="8"/>
      <c r="K898" s="8">
        <f>+G898+H898-I898</f>
        <v>1</v>
      </c>
      <c r="L898" s="8"/>
      <c r="M898" s="9">
        <v>3847</v>
      </c>
      <c r="N898" s="9">
        <f>+K898*M898</f>
        <v>3847</v>
      </c>
      <c r="O898" s="9"/>
      <c r="P898" s="9"/>
      <c r="Q898" s="10" t="s">
        <v>1191</v>
      </c>
    </row>
    <row r="899" spans="1:17" s="11" customFormat="1" ht="39.950000000000003" customHeight="1" x14ac:dyDescent="0.3">
      <c r="A899" s="18" t="s">
        <v>1881</v>
      </c>
      <c r="B899" s="23" t="s">
        <v>4</v>
      </c>
      <c r="C899" s="8"/>
      <c r="D899" s="25" t="s">
        <v>2409</v>
      </c>
      <c r="E899" s="12" t="s">
        <v>1176</v>
      </c>
      <c r="F899" s="18" t="s">
        <v>1779</v>
      </c>
      <c r="G899" s="8">
        <v>5</v>
      </c>
      <c r="H899" s="8"/>
      <c r="I899" s="8">
        <f>1+1+1+1+2</f>
        <v>6</v>
      </c>
      <c r="J899" s="8"/>
      <c r="K899" s="8">
        <f>+G899+H899+-I899</f>
        <v>-1</v>
      </c>
      <c r="L899" s="8"/>
      <c r="M899" s="9">
        <v>10.029999999999999</v>
      </c>
      <c r="N899" s="9">
        <f>+K899*M899</f>
        <v>-10.029999999999999</v>
      </c>
      <c r="O899" s="9"/>
      <c r="P899" s="9"/>
      <c r="Q899" s="10" t="s">
        <v>433</v>
      </c>
    </row>
    <row r="900" spans="1:17" s="11" customFormat="1" ht="39.950000000000003" customHeight="1" x14ac:dyDescent="0.3">
      <c r="A900" s="18" t="s">
        <v>1882</v>
      </c>
      <c r="B900" s="23"/>
      <c r="C900" s="8"/>
      <c r="D900" s="25" t="s">
        <v>2394</v>
      </c>
      <c r="E900" s="12" t="s">
        <v>1221</v>
      </c>
      <c r="F900" s="18" t="s">
        <v>1779</v>
      </c>
      <c r="G900" s="8"/>
      <c r="H900" s="8">
        <v>15</v>
      </c>
      <c r="I900" s="8">
        <v>6</v>
      </c>
      <c r="J900" s="8"/>
      <c r="K900" s="8">
        <f>+G900+H900-I900+J900</f>
        <v>9</v>
      </c>
      <c r="L900" s="8"/>
      <c r="M900" s="9">
        <v>23807.68</v>
      </c>
      <c r="N900" s="9">
        <f>+M900*H900</f>
        <v>357115.2</v>
      </c>
      <c r="O900" s="9"/>
      <c r="P900" s="9"/>
      <c r="Q900" s="10" t="s">
        <v>25</v>
      </c>
    </row>
    <row r="901" spans="1:17" s="11" customFormat="1" ht="39.950000000000003" customHeight="1" x14ac:dyDescent="0.3">
      <c r="A901" s="18" t="s">
        <v>1883</v>
      </c>
      <c r="B901" s="19" t="s">
        <v>2305</v>
      </c>
      <c r="C901" s="20">
        <v>30</v>
      </c>
      <c r="D901" s="25" t="s">
        <v>2394</v>
      </c>
      <c r="E901" s="12" t="s">
        <v>2311</v>
      </c>
      <c r="F901" s="18" t="s">
        <v>1779</v>
      </c>
      <c r="G901" s="8"/>
      <c r="H901" s="8">
        <v>25</v>
      </c>
      <c r="I901" s="8"/>
      <c r="J901" s="8"/>
      <c r="K901" s="8">
        <f>+G901+H901-I901+J901</f>
        <v>25</v>
      </c>
      <c r="L901" s="8"/>
      <c r="M901" s="9">
        <v>1413.64</v>
      </c>
      <c r="N901" s="9">
        <f>+K901*M901</f>
        <v>35341</v>
      </c>
      <c r="O901" s="9"/>
      <c r="P901" s="9"/>
      <c r="Q901" s="10" t="s">
        <v>25</v>
      </c>
    </row>
    <row r="902" spans="1:17" s="11" customFormat="1" ht="39.950000000000003" customHeight="1" x14ac:dyDescent="0.3">
      <c r="A902" s="18" t="s">
        <v>1884</v>
      </c>
      <c r="B902" s="23"/>
      <c r="C902" s="8"/>
      <c r="D902" s="25" t="s">
        <v>2318</v>
      </c>
      <c r="E902" s="12" t="s">
        <v>194</v>
      </c>
      <c r="F902" s="18" t="s">
        <v>1779</v>
      </c>
      <c r="G902" s="8">
        <v>2</v>
      </c>
      <c r="H902" s="8"/>
      <c r="I902" s="8"/>
      <c r="J902" s="8"/>
      <c r="K902" s="8">
        <f>+G902+H902+-I902</f>
        <v>2</v>
      </c>
      <c r="L902" s="8"/>
      <c r="M902" s="9">
        <v>408</v>
      </c>
      <c r="N902" s="9">
        <f>+K902*M902</f>
        <v>816</v>
      </c>
      <c r="O902" s="9"/>
      <c r="P902" s="9"/>
      <c r="Q902" s="10" t="s">
        <v>159</v>
      </c>
    </row>
    <row r="903" spans="1:17" s="11" customFormat="1" ht="39.950000000000003" customHeight="1" x14ac:dyDescent="0.3">
      <c r="A903" s="18" t="s">
        <v>1885</v>
      </c>
      <c r="B903" s="23"/>
      <c r="C903" s="8"/>
      <c r="D903" s="25" t="s">
        <v>2385</v>
      </c>
      <c r="E903" s="12" t="s">
        <v>392</v>
      </c>
      <c r="F903" s="18" t="s">
        <v>1779</v>
      </c>
      <c r="G903" s="8">
        <v>6</v>
      </c>
      <c r="H903" s="8"/>
      <c r="I903" s="8">
        <f>4+2</f>
        <v>6</v>
      </c>
      <c r="J903" s="8"/>
      <c r="K903" s="8">
        <f>+G903+H903+-I903</f>
        <v>0</v>
      </c>
      <c r="L903" s="8"/>
      <c r="M903" s="9">
        <v>9.75</v>
      </c>
      <c r="N903" s="9">
        <f>+K903*M903</f>
        <v>0</v>
      </c>
      <c r="O903" s="9"/>
      <c r="P903" s="9"/>
      <c r="Q903" s="10" t="s">
        <v>297</v>
      </c>
    </row>
    <row r="904" spans="1:17" s="11" customFormat="1" ht="39.950000000000003" customHeight="1" x14ac:dyDescent="0.3">
      <c r="A904" s="18" t="s">
        <v>1886</v>
      </c>
      <c r="B904" s="19" t="s">
        <v>2303</v>
      </c>
      <c r="C904" s="20">
        <v>30</v>
      </c>
      <c r="D904" s="25" t="s">
        <v>2394</v>
      </c>
      <c r="E904" s="12" t="s">
        <v>2374</v>
      </c>
      <c r="F904" s="18" t="s">
        <v>1779</v>
      </c>
      <c r="G904" s="8"/>
      <c r="H904" s="8">
        <v>7</v>
      </c>
      <c r="I904" s="8"/>
      <c r="J904" s="8"/>
      <c r="K904" s="8">
        <f>+G904+H904-I904+J904</f>
        <v>7</v>
      </c>
      <c r="L904" s="8"/>
      <c r="M904" s="9">
        <v>155.55940000000001</v>
      </c>
      <c r="N904" s="9">
        <f>+K904*M904</f>
        <v>1088.9158</v>
      </c>
      <c r="O904" s="9"/>
      <c r="P904" s="9"/>
      <c r="Q904" s="10" t="s">
        <v>25</v>
      </c>
    </row>
    <row r="905" spans="1:17" s="11" customFormat="1" ht="39.950000000000003" customHeight="1" x14ac:dyDescent="0.3">
      <c r="A905" s="18" t="s">
        <v>1890</v>
      </c>
      <c r="B905" s="23"/>
      <c r="C905" s="8"/>
      <c r="D905" s="25" t="s">
        <v>2318</v>
      </c>
      <c r="E905" s="12" t="s">
        <v>1761</v>
      </c>
      <c r="F905" s="18" t="s">
        <v>1779</v>
      </c>
      <c r="G905" s="8">
        <v>7</v>
      </c>
      <c r="H905" s="8"/>
      <c r="I905" s="8">
        <f>2+3</f>
        <v>5</v>
      </c>
      <c r="J905" s="8"/>
      <c r="K905" s="8">
        <f>+G905+H905+-I905</f>
        <v>2</v>
      </c>
      <c r="L905" s="8"/>
      <c r="M905" s="9">
        <v>408</v>
      </c>
      <c r="N905" s="9">
        <f>+K905*M905</f>
        <v>816</v>
      </c>
      <c r="O905" s="9"/>
      <c r="P905" s="9"/>
      <c r="Q905" s="10" t="s">
        <v>159</v>
      </c>
    </row>
    <row r="906" spans="1:17" s="11" customFormat="1" ht="39.950000000000003" customHeight="1" x14ac:dyDescent="0.3">
      <c r="A906" s="18" t="s">
        <v>1891</v>
      </c>
      <c r="B906" s="19">
        <v>45828</v>
      </c>
      <c r="C906" s="20"/>
      <c r="D906" s="53"/>
      <c r="E906" s="12" t="s">
        <v>2214</v>
      </c>
      <c r="F906" s="18" t="s">
        <v>1779</v>
      </c>
      <c r="G906" s="8"/>
      <c r="H906" s="8">
        <v>5</v>
      </c>
      <c r="I906" s="8"/>
      <c r="J906" s="8"/>
      <c r="K906" s="8">
        <f>+G906+H906-I906+J906</f>
        <v>5</v>
      </c>
      <c r="L906" s="8"/>
      <c r="M906" s="9">
        <v>113979</v>
      </c>
      <c r="N906" s="9"/>
      <c r="O906" s="9"/>
      <c r="P906" s="9"/>
      <c r="Q906" s="10" t="s">
        <v>520</v>
      </c>
    </row>
    <row r="907" spans="1:17" s="11" customFormat="1" ht="39.950000000000003" customHeight="1" x14ac:dyDescent="0.3">
      <c r="A907" s="18" t="s">
        <v>1892</v>
      </c>
      <c r="B907" s="19">
        <v>45828</v>
      </c>
      <c r="C907" s="20"/>
      <c r="D907" s="53"/>
      <c r="E907" s="12" t="s">
        <v>2213</v>
      </c>
      <c r="F907" s="18" t="s">
        <v>1779</v>
      </c>
      <c r="G907" s="8"/>
      <c r="H907" s="8">
        <v>9</v>
      </c>
      <c r="I907" s="8"/>
      <c r="J907" s="8"/>
      <c r="K907" s="8">
        <f>+G907+H907-I907+J907</f>
        <v>9</v>
      </c>
      <c r="L907" s="8"/>
      <c r="M907" s="9">
        <v>40600</v>
      </c>
      <c r="N907" s="9"/>
      <c r="O907" s="9"/>
      <c r="P907" s="9"/>
      <c r="Q907" s="10" t="s">
        <v>520</v>
      </c>
    </row>
    <row r="908" spans="1:17" s="11" customFormat="1" ht="39.950000000000003" customHeight="1" x14ac:dyDescent="0.3">
      <c r="A908" s="18" t="s">
        <v>2454</v>
      </c>
      <c r="B908" s="23"/>
      <c r="C908" s="8"/>
      <c r="D908" s="25"/>
      <c r="E908" s="12" t="s">
        <v>469</v>
      </c>
      <c r="F908" s="18" t="s">
        <v>1779</v>
      </c>
      <c r="G908" s="8">
        <v>2</v>
      </c>
      <c r="H908" s="8"/>
      <c r="I908" s="8"/>
      <c r="J908" s="8"/>
      <c r="K908" s="8">
        <f>+G908+H908+-I908</f>
        <v>2</v>
      </c>
      <c r="L908" s="8"/>
      <c r="M908" s="9">
        <v>455</v>
      </c>
      <c r="N908" s="9">
        <f t="shared" ref="N908:N940" si="86">+K908*M908</f>
        <v>910</v>
      </c>
      <c r="O908" s="9"/>
      <c r="P908" s="9"/>
      <c r="Q908" s="10" t="s">
        <v>433</v>
      </c>
    </row>
    <row r="909" spans="1:17" s="11" customFormat="1" ht="39.950000000000003" customHeight="1" x14ac:dyDescent="0.3">
      <c r="A909" s="18" t="s">
        <v>1893</v>
      </c>
      <c r="B909" s="23"/>
      <c r="C909" s="8"/>
      <c r="D909" s="25" t="s">
        <v>2394</v>
      </c>
      <c r="E909" s="12" t="s">
        <v>90</v>
      </c>
      <c r="F909" s="18" t="s">
        <v>1779</v>
      </c>
      <c r="G909" s="8">
        <v>10</v>
      </c>
      <c r="H909" s="8"/>
      <c r="I909" s="8"/>
      <c r="J909" s="8"/>
      <c r="K909" s="8">
        <f>+G909+H909-I909</f>
        <v>10</v>
      </c>
      <c r="L909" s="8"/>
      <c r="M909" s="9">
        <v>1390</v>
      </c>
      <c r="N909" s="9">
        <f t="shared" si="86"/>
        <v>13900</v>
      </c>
      <c r="O909" s="9"/>
      <c r="P909" s="9"/>
      <c r="Q909" s="10" t="s">
        <v>25</v>
      </c>
    </row>
    <row r="910" spans="1:17" s="11" customFormat="1" ht="39.950000000000003" customHeight="1" x14ac:dyDescent="0.3">
      <c r="A910" s="18" t="s">
        <v>1894</v>
      </c>
      <c r="B910" s="23"/>
      <c r="C910" s="8"/>
      <c r="D910" s="25" t="s">
        <v>2394</v>
      </c>
      <c r="E910" s="12" t="s">
        <v>91</v>
      </c>
      <c r="F910" s="18" t="s">
        <v>1779</v>
      </c>
      <c r="G910" s="8">
        <v>2</v>
      </c>
      <c r="H910" s="8"/>
      <c r="I910" s="8"/>
      <c r="J910" s="8"/>
      <c r="K910" s="8">
        <f>+G910+H910-I910</f>
        <v>2</v>
      </c>
      <c r="L910" s="8"/>
      <c r="M910" s="9">
        <v>348</v>
      </c>
      <c r="N910" s="9">
        <f t="shared" si="86"/>
        <v>696</v>
      </c>
      <c r="O910" s="9"/>
      <c r="P910" s="9"/>
      <c r="Q910" s="10" t="s">
        <v>25</v>
      </c>
    </row>
    <row r="911" spans="1:17" s="11" customFormat="1" ht="39.950000000000003" customHeight="1" x14ac:dyDescent="0.3">
      <c r="A911" s="18" t="s">
        <v>1895</v>
      </c>
      <c r="B911" s="23"/>
      <c r="C911" s="8"/>
      <c r="D911" s="25" t="s">
        <v>2394</v>
      </c>
      <c r="E911" s="12" t="s">
        <v>92</v>
      </c>
      <c r="F911" s="18" t="s">
        <v>1779</v>
      </c>
      <c r="G911" s="8">
        <v>6</v>
      </c>
      <c r="H911" s="8"/>
      <c r="I911" s="8"/>
      <c r="J911" s="8"/>
      <c r="K911" s="8">
        <f>+G911+H911-I911</f>
        <v>6</v>
      </c>
      <c r="L911" s="8"/>
      <c r="M911" s="9">
        <v>348</v>
      </c>
      <c r="N911" s="9">
        <f t="shared" si="86"/>
        <v>2088</v>
      </c>
      <c r="O911" s="9"/>
      <c r="P911" s="9"/>
      <c r="Q911" s="10" t="s">
        <v>25</v>
      </c>
    </row>
    <row r="912" spans="1:17" s="11" customFormat="1" ht="39.950000000000003" customHeight="1" x14ac:dyDescent="0.3">
      <c r="A912" s="18" t="s">
        <v>1896</v>
      </c>
      <c r="B912" s="23"/>
      <c r="C912" s="8"/>
      <c r="D912" s="25" t="s">
        <v>2394</v>
      </c>
      <c r="E912" s="12" t="s">
        <v>93</v>
      </c>
      <c r="F912" s="18" t="s">
        <v>1779</v>
      </c>
      <c r="G912" s="8">
        <v>1</v>
      </c>
      <c r="H912" s="8"/>
      <c r="I912" s="8"/>
      <c r="J912" s="8"/>
      <c r="K912" s="8">
        <f>+G912+H912-I912</f>
        <v>1</v>
      </c>
      <c r="L912" s="8"/>
      <c r="M912" s="9">
        <v>348</v>
      </c>
      <c r="N912" s="9">
        <f t="shared" si="86"/>
        <v>348</v>
      </c>
      <c r="O912" s="9"/>
      <c r="P912" s="9"/>
      <c r="Q912" s="10" t="s">
        <v>25</v>
      </c>
    </row>
    <row r="913" spans="1:17" s="11" customFormat="1" ht="39.950000000000003" customHeight="1" x14ac:dyDescent="0.3">
      <c r="A913" s="18" t="s">
        <v>1897</v>
      </c>
      <c r="B913" s="23">
        <v>45817</v>
      </c>
      <c r="C913" s="8">
        <v>10</v>
      </c>
      <c r="D913" s="25" t="s">
        <v>2394</v>
      </c>
      <c r="E913" s="12" t="s">
        <v>2151</v>
      </c>
      <c r="F913" s="18" t="s">
        <v>1779</v>
      </c>
      <c r="G913" s="8">
        <v>6</v>
      </c>
      <c r="H913" s="8">
        <v>5</v>
      </c>
      <c r="I913" s="8"/>
      <c r="J913" s="8"/>
      <c r="K913" s="8">
        <f>+G913+H913-I913+J913</f>
        <v>11</v>
      </c>
      <c r="L913" s="8"/>
      <c r="M913" s="9">
        <v>1435</v>
      </c>
      <c r="N913" s="9">
        <f t="shared" si="86"/>
        <v>15785</v>
      </c>
      <c r="O913" s="9"/>
      <c r="P913" s="9"/>
      <c r="Q913" s="10" t="s">
        <v>25</v>
      </c>
    </row>
    <row r="914" spans="1:17" s="11" customFormat="1" ht="39.950000000000003" customHeight="1" x14ac:dyDescent="0.3">
      <c r="A914" s="18" t="s">
        <v>1898</v>
      </c>
      <c r="B914" s="23">
        <v>45817</v>
      </c>
      <c r="C914" s="8">
        <v>10</v>
      </c>
      <c r="D914" s="25" t="s">
        <v>2394</v>
      </c>
      <c r="E914" s="12" t="s">
        <v>2152</v>
      </c>
      <c r="F914" s="18" t="s">
        <v>1779</v>
      </c>
      <c r="G914" s="8"/>
      <c r="H914" s="8">
        <v>5</v>
      </c>
      <c r="I914" s="8"/>
      <c r="J914" s="8"/>
      <c r="K914" s="8">
        <f>+G914+H914-I914+J914</f>
        <v>5</v>
      </c>
      <c r="L914" s="8"/>
      <c r="M914" s="9">
        <v>1435</v>
      </c>
      <c r="N914" s="9">
        <f t="shared" si="86"/>
        <v>7175</v>
      </c>
      <c r="O914" s="9"/>
      <c r="P914" s="9"/>
      <c r="Q914" s="10" t="s">
        <v>25</v>
      </c>
    </row>
    <row r="915" spans="1:17" s="11" customFormat="1" ht="39.950000000000003" customHeight="1" x14ac:dyDescent="0.3">
      <c r="A915" s="18" t="s">
        <v>1899</v>
      </c>
      <c r="B915" s="23">
        <v>45817</v>
      </c>
      <c r="C915" s="8">
        <v>10</v>
      </c>
      <c r="D915" s="25" t="s">
        <v>2394</v>
      </c>
      <c r="E915" s="12" t="s">
        <v>2150</v>
      </c>
      <c r="F915" s="18" t="s">
        <v>1779</v>
      </c>
      <c r="G915" s="8"/>
      <c r="H915" s="8">
        <v>5</v>
      </c>
      <c r="I915" s="8"/>
      <c r="J915" s="8"/>
      <c r="K915" s="8">
        <f>+G915+H915-I915+J915</f>
        <v>5</v>
      </c>
      <c r="L915" s="8"/>
      <c r="M915" s="9">
        <v>1435</v>
      </c>
      <c r="N915" s="9">
        <f t="shared" si="86"/>
        <v>7175</v>
      </c>
      <c r="O915" s="9"/>
      <c r="P915" s="9"/>
      <c r="Q915" s="10" t="s">
        <v>25</v>
      </c>
    </row>
    <row r="916" spans="1:17" s="11" customFormat="1" ht="39.950000000000003" customHeight="1" x14ac:dyDescent="0.3">
      <c r="A916" s="18" t="s">
        <v>1900</v>
      </c>
      <c r="B916" s="23"/>
      <c r="C916" s="8"/>
      <c r="D916" s="25" t="s">
        <v>2385</v>
      </c>
      <c r="E916" s="12" t="s">
        <v>393</v>
      </c>
      <c r="F916" s="18" t="s">
        <v>1779</v>
      </c>
      <c r="G916" s="8">
        <v>1</v>
      </c>
      <c r="H916" s="8"/>
      <c r="I916" s="8">
        <v>1</v>
      </c>
      <c r="J916" s="8"/>
      <c r="K916" s="8">
        <f t="shared" ref="K916:K926" si="87">+G916+H916+-I916</f>
        <v>0</v>
      </c>
      <c r="L916" s="8"/>
      <c r="M916" s="9">
        <v>250</v>
      </c>
      <c r="N916" s="9">
        <f t="shared" si="86"/>
        <v>0</v>
      </c>
      <c r="O916" s="9"/>
      <c r="P916" s="9"/>
      <c r="Q916" s="10" t="s">
        <v>297</v>
      </c>
    </row>
    <row r="917" spans="1:17" s="11" customFormat="1" ht="39.950000000000003" customHeight="1" x14ac:dyDescent="0.3">
      <c r="A917" s="18" t="s">
        <v>1901</v>
      </c>
      <c r="B917" s="23" t="s">
        <v>4</v>
      </c>
      <c r="C917" s="8"/>
      <c r="D917" s="25" t="s">
        <v>2434</v>
      </c>
      <c r="E917" s="12" t="s">
        <v>228</v>
      </c>
      <c r="F917" s="18" t="s">
        <v>1779</v>
      </c>
      <c r="G917" s="8">
        <v>6</v>
      </c>
      <c r="H917" s="8"/>
      <c r="I917" s="8">
        <v>4</v>
      </c>
      <c r="J917" s="8"/>
      <c r="K917" s="8">
        <f t="shared" si="87"/>
        <v>2</v>
      </c>
      <c r="L917" s="8"/>
      <c r="M917" s="9">
        <v>295</v>
      </c>
      <c r="N917" s="9">
        <f t="shared" si="86"/>
        <v>590</v>
      </c>
      <c r="O917" s="9"/>
      <c r="P917" s="9"/>
      <c r="Q917" s="10" t="s">
        <v>209</v>
      </c>
    </row>
    <row r="918" spans="1:17" s="11" customFormat="1" ht="39.950000000000003" customHeight="1" x14ac:dyDescent="0.3">
      <c r="A918" s="18" t="s">
        <v>1902</v>
      </c>
      <c r="B918" s="23"/>
      <c r="C918" s="8"/>
      <c r="D918" s="25" t="s">
        <v>2385</v>
      </c>
      <c r="E918" s="12" t="s">
        <v>1246</v>
      </c>
      <c r="F918" s="18" t="s">
        <v>1779</v>
      </c>
      <c r="G918" s="8">
        <f>4-1-1</f>
        <v>2</v>
      </c>
      <c r="H918" s="8"/>
      <c r="I918" s="8">
        <f>1+1</f>
        <v>2</v>
      </c>
      <c r="J918" s="8"/>
      <c r="K918" s="8">
        <f t="shared" si="87"/>
        <v>0</v>
      </c>
      <c r="L918" s="8"/>
      <c r="M918" s="9">
        <v>30.63</v>
      </c>
      <c r="N918" s="9">
        <f t="shared" si="86"/>
        <v>0</v>
      </c>
      <c r="O918" s="9"/>
      <c r="P918" s="9"/>
      <c r="Q918" s="10" t="s">
        <v>297</v>
      </c>
    </row>
    <row r="919" spans="1:17" s="11" customFormat="1" ht="39.950000000000003" customHeight="1" x14ac:dyDescent="0.3">
      <c r="A919" s="18" t="s">
        <v>1903</v>
      </c>
      <c r="B919" s="23">
        <v>45604</v>
      </c>
      <c r="C919" s="8">
        <v>10</v>
      </c>
      <c r="D919" s="25" t="s">
        <v>2385</v>
      </c>
      <c r="E919" s="12" t="s">
        <v>394</v>
      </c>
      <c r="F919" s="18" t="s">
        <v>1779</v>
      </c>
      <c r="G919" s="8">
        <v>2</v>
      </c>
      <c r="H919" s="8"/>
      <c r="I919" s="8">
        <f>2</f>
        <v>2</v>
      </c>
      <c r="J919" s="8"/>
      <c r="K919" s="8">
        <f t="shared" si="87"/>
        <v>0</v>
      </c>
      <c r="L919" s="8"/>
      <c r="M919" s="9">
        <v>30.63</v>
      </c>
      <c r="N919" s="9">
        <f t="shared" si="86"/>
        <v>0</v>
      </c>
      <c r="O919" s="9"/>
      <c r="P919" s="9"/>
      <c r="Q919" s="10" t="s">
        <v>297</v>
      </c>
    </row>
    <row r="920" spans="1:17" s="11" customFormat="1" ht="39.950000000000003" customHeight="1" x14ac:dyDescent="0.3">
      <c r="A920" s="18" t="s">
        <v>1904</v>
      </c>
      <c r="B920" s="23">
        <v>45604</v>
      </c>
      <c r="C920" s="8">
        <v>10</v>
      </c>
      <c r="D920" s="25" t="s">
        <v>2385</v>
      </c>
      <c r="E920" s="12" t="s">
        <v>395</v>
      </c>
      <c r="F920" s="18" t="s">
        <v>1779</v>
      </c>
      <c r="G920" s="8">
        <v>2</v>
      </c>
      <c r="H920" s="8"/>
      <c r="I920" s="8">
        <v>2</v>
      </c>
      <c r="J920" s="8"/>
      <c r="K920" s="8">
        <f t="shared" si="87"/>
        <v>0</v>
      </c>
      <c r="L920" s="8"/>
      <c r="M920" s="9">
        <v>30.63</v>
      </c>
      <c r="N920" s="9">
        <f t="shared" si="86"/>
        <v>0</v>
      </c>
      <c r="O920" s="9"/>
      <c r="P920" s="9"/>
      <c r="Q920" s="10" t="s">
        <v>297</v>
      </c>
    </row>
    <row r="921" spans="1:17" s="11" customFormat="1" ht="39.950000000000003" customHeight="1" x14ac:dyDescent="0.3">
      <c r="A921" s="18" t="s">
        <v>1905</v>
      </c>
      <c r="B921" s="23">
        <v>45604</v>
      </c>
      <c r="C921" s="8">
        <v>10</v>
      </c>
      <c r="D921" s="25" t="s">
        <v>2385</v>
      </c>
      <c r="E921" s="12" t="s">
        <v>1247</v>
      </c>
      <c r="F921" s="18" t="s">
        <v>1779</v>
      </c>
      <c r="G921" s="8">
        <v>48</v>
      </c>
      <c r="H921" s="8"/>
      <c r="I921" s="8">
        <f>18+1+3</f>
        <v>22</v>
      </c>
      <c r="J921" s="8"/>
      <c r="K921" s="8">
        <f t="shared" si="87"/>
        <v>26</v>
      </c>
      <c r="L921" s="8"/>
      <c r="M921" s="9">
        <v>30.63</v>
      </c>
      <c r="N921" s="9">
        <f t="shared" si="86"/>
        <v>796.38</v>
      </c>
      <c r="O921" s="9"/>
      <c r="P921" s="9"/>
      <c r="Q921" s="10" t="s">
        <v>297</v>
      </c>
    </row>
    <row r="922" spans="1:17" s="11" customFormat="1" ht="39.950000000000003" customHeight="1" x14ac:dyDescent="0.3">
      <c r="A922" s="18" t="s">
        <v>1906</v>
      </c>
      <c r="B922" s="23">
        <v>45604</v>
      </c>
      <c r="C922" s="8">
        <v>10</v>
      </c>
      <c r="D922" s="25" t="s">
        <v>2385</v>
      </c>
      <c r="E922" s="12" t="s">
        <v>1248</v>
      </c>
      <c r="F922" s="18" t="s">
        <v>1779</v>
      </c>
      <c r="G922" s="8">
        <v>20</v>
      </c>
      <c r="H922" s="8"/>
      <c r="I922" s="8">
        <v>5</v>
      </c>
      <c r="J922" s="8"/>
      <c r="K922" s="8">
        <f t="shared" si="87"/>
        <v>15</v>
      </c>
      <c r="L922" s="8"/>
      <c r="M922" s="9">
        <v>30.63</v>
      </c>
      <c r="N922" s="9">
        <f t="shared" si="86"/>
        <v>459.45</v>
      </c>
      <c r="O922" s="9"/>
      <c r="P922" s="9"/>
      <c r="Q922" s="10" t="s">
        <v>297</v>
      </c>
    </row>
    <row r="923" spans="1:17" s="11" customFormat="1" ht="39.950000000000003" customHeight="1" x14ac:dyDescent="0.3">
      <c r="A923" s="18" t="s">
        <v>1907</v>
      </c>
      <c r="B923" s="23">
        <v>45604</v>
      </c>
      <c r="C923" s="8">
        <v>10</v>
      </c>
      <c r="D923" s="25" t="s">
        <v>2385</v>
      </c>
      <c r="E923" s="12" t="s">
        <v>1249</v>
      </c>
      <c r="F923" s="18" t="s">
        <v>1779</v>
      </c>
      <c r="G923" s="8">
        <f>4-1</f>
        <v>3</v>
      </c>
      <c r="H923" s="8"/>
      <c r="I923" s="8">
        <f>2+1</f>
        <v>3</v>
      </c>
      <c r="J923" s="8"/>
      <c r="K923" s="8">
        <f t="shared" si="87"/>
        <v>0</v>
      </c>
      <c r="L923" s="8"/>
      <c r="M923" s="9">
        <v>30.63</v>
      </c>
      <c r="N923" s="9">
        <f t="shared" si="86"/>
        <v>0</v>
      </c>
      <c r="O923" s="9"/>
      <c r="P923" s="9"/>
      <c r="Q923" s="10" t="s">
        <v>297</v>
      </c>
    </row>
    <row r="924" spans="1:17" s="11" customFormat="1" ht="39.950000000000003" customHeight="1" x14ac:dyDescent="0.3">
      <c r="A924" s="18" t="s">
        <v>1908</v>
      </c>
      <c r="B924" s="23">
        <v>45607</v>
      </c>
      <c r="C924" s="8">
        <v>10</v>
      </c>
      <c r="D924" s="25" t="s">
        <v>2385</v>
      </c>
      <c r="E924" s="12" t="s">
        <v>396</v>
      </c>
      <c r="F924" s="18" t="s">
        <v>1779</v>
      </c>
      <c r="G924" s="8">
        <f>24-1</f>
        <v>23</v>
      </c>
      <c r="H924" s="8"/>
      <c r="I924" s="8">
        <f>23-9+1+3+1+2+1+1</f>
        <v>23</v>
      </c>
      <c r="J924" s="8"/>
      <c r="K924" s="8">
        <f t="shared" si="87"/>
        <v>0</v>
      </c>
      <c r="L924" s="8"/>
      <c r="M924" s="9">
        <v>30.63</v>
      </c>
      <c r="N924" s="9">
        <f t="shared" si="86"/>
        <v>0</v>
      </c>
      <c r="O924" s="9"/>
      <c r="P924" s="9"/>
      <c r="Q924" s="10" t="s">
        <v>297</v>
      </c>
    </row>
    <row r="925" spans="1:17" s="11" customFormat="1" ht="39.950000000000003" customHeight="1" x14ac:dyDescent="0.3">
      <c r="A925" s="18" t="s">
        <v>1909</v>
      </c>
      <c r="B925" s="23">
        <v>45597</v>
      </c>
      <c r="C925" s="8">
        <v>10</v>
      </c>
      <c r="D925" s="25" t="s">
        <v>2385</v>
      </c>
      <c r="E925" s="12" t="s">
        <v>397</v>
      </c>
      <c r="F925" s="18" t="s">
        <v>1779</v>
      </c>
      <c r="G925" s="8">
        <v>15</v>
      </c>
      <c r="H925" s="8"/>
      <c r="I925" s="8">
        <v>15</v>
      </c>
      <c r="J925" s="8"/>
      <c r="K925" s="8">
        <f t="shared" si="87"/>
        <v>0</v>
      </c>
      <c r="L925" s="8"/>
      <c r="M925" s="9">
        <v>30.63</v>
      </c>
      <c r="N925" s="9">
        <f t="shared" si="86"/>
        <v>0</v>
      </c>
      <c r="O925" s="9"/>
      <c r="P925" s="9"/>
      <c r="Q925" s="10" t="s">
        <v>297</v>
      </c>
    </row>
    <row r="926" spans="1:17" s="11" customFormat="1" ht="39.950000000000003" customHeight="1" x14ac:dyDescent="0.3">
      <c r="A926" s="18" t="s">
        <v>1910</v>
      </c>
      <c r="B926" s="23">
        <v>45597</v>
      </c>
      <c r="C926" s="8">
        <v>10</v>
      </c>
      <c r="D926" s="25" t="s">
        <v>2385</v>
      </c>
      <c r="E926" s="12" t="s">
        <v>398</v>
      </c>
      <c r="F926" s="18" t="s">
        <v>1779</v>
      </c>
      <c r="G926" s="8">
        <f>12-1</f>
        <v>11</v>
      </c>
      <c r="H926" s="8"/>
      <c r="I926" s="8">
        <f>2+1+3+1+2+2</f>
        <v>11</v>
      </c>
      <c r="J926" s="8"/>
      <c r="K926" s="8">
        <f t="shared" si="87"/>
        <v>0</v>
      </c>
      <c r="L926" s="8"/>
      <c r="M926" s="9">
        <v>30.63</v>
      </c>
      <c r="N926" s="9">
        <f t="shared" si="86"/>
        <v>0</v>
      </c>
      <c r="O926" s="9"/>
      <c r="P926" s="9"/>
      <c r="Q926" s="10" t="s">
        <v>297</v>
      </c>
    </row>
    <row r="927" spans="1:17" s="11" customFormat="1" ht="39.950000000000003" customHeight="1" x14ac:dyDescent="0.3">
      <c r="A927" s="18" t="s">
        <v>1911</v>
      </c>
      <c r="B927" s="23">
        <v>45597</v>
      </c>
      <c r="C927" s="8"/>
      <c r="D927" s="25" t="s">
        <v>2322</v>
      </c>
      <c r="E927" s="12" t="s">
        <v>1512</v>
      </c>
      <c r="F927" s="18" t="s">
        <v>1779</v>
      </c>
      <c r="G927" s="8"/>
      <c r="H927" s="8">
        <v>6</v>
      </c>
      <c r="I927" s="8"/>
      <c r="J927" s="8"/>
      <c r="K927" s="8">
        <f>+G927+H927-I927+J927</f>
        <v>6</v>
      </c>
      <c r="L927" s="8"/>
      <c r="M927" s="9">
        <v>1158.17</v>
      </c>
      <c r="N927" s="9">
        <f t="shared" si="86"/>
        <v>6949.02</v>
      </c>
      <c r="O927" s="9"/>
      <c r="P927" s="9"/>
      <c r="Q927" s="10" t="s">
        <v>1479</v>
      </c>
    </row>
    <row r="928" spans="1:17" s="11" customFormat="1" ht="39.950000000000003" customHeight="1" x14ac:dyDescent="0.3">
      <c r="A928" s="18" t="s">
        <v>1912</v>
      </c>
      <c r="B928" s="23">
        <v>45597</v>
      </c>
      <c r="C928" s="8">
        <v>10</v>
      </c>
      <c r="D928" s="25" t="s">
        <v>2386</v>
      </c>
      <c r="E928" s="12" t="s">
        <v>399</v>
      </c>
      <c r="F928" s="18" t="s">
        <v>1779</v>
      </c>
      <c r="G928" s="8">
        <v>2</v>
      </c>
      <c r="H928" s="8"/>
      <c r="I928" s="8"/>
      <c r="J928" s="8"/>
      <c r="K928" s="8">
        <f t="shared" ref="K928:K936" si="88">+G928+H928+-I928</f>
        <v>2</v>
      </c>
      <c r="L928" s="8"/>
      <c r="M928" s="9">
        <v>60</v>
      </c>
      <c r="N928" s="9">
        <f t="shared" si="86"/>
        <v>120</v>
      </c>
      <c r="O928" s="9"/>
      <c r="P928" s="9"/>
      <c r="Q928" s="10" t="s">
        <v>297</v>
      </c>
    </row>
    <row r="929" spans="1:17" s="11" customFormat="1" ht="39.950000000000003" customHeight="1" x14ac:dyDescent="0.3">
      <c r="A929" s="18" t="s">
        <v>1913</v>
      </c>
      <c r="B929" s="23">
        <v>45597</v>
      </c>
      <c r="C929" s="8"/>
      <c r="D929" s="25" t="s">
        <v>2386</v>
      </c>
      <c r="E929" s="12" t="s">
        <v>400</v>
      </c>
      <c r="F929" s="18" t="s">
        <v>1779</v>
      </c>
      <c r="G929" s="8">
        <v>7</v>
      </c>
      <c r="H929" s="8"/>
      <c r="I929" s="8"/>
      <c r="J929" s="8"/>
      <c r="K929" s="8">
        <f t="shared" si="88"/>
        <v>7</v>
      </c>
      <c r="L929" s="8"/>
      <c r="M929" s="9">
        <v>428.22</v>
      </c>
      <c r="N929" s="9">
        <f t="shared" si="86"/>
        <v>2997.54</v>
      </c>
      <c r="O929" s="9"/>
      <c r="P929" s="9"/>
      <c r="Q929" s="10" t="s">
        <v>297</v>
      </c>
    </row>
    <row r="930" spans="1:17" s="11" customFormat="1" ht="39.950000000000003" customHeight="1" x14ac:dyDescent="0.3">
      <c r="A930" s="18" t="s">
        <v>1914</v>
      </c>
      <c r="B930" s="23">
        <v>45597</v>
      </c>
      <c r="C930" s="8"/>
      <c r="D930" s="25" t="s">
        <v>2386</v>
      </c>
      <c r="E930" s="12" t="s">
        <v>401</v>
      </c>
      <c r="F930" s="18" t="s">
        <v>1779</v>
      </c>
      <c r="G930" s="8">
        <f>200-1</f>
        <v>199</v>
      </c>
      <c r="H930" s="8"/>
      <c r="I930" s="8">
        <f>1+1+1+2+2+2+1+2+2</f>
        <v>14</v>
      </c>
      <c r="J930" s="8"/>
      <c r="K930" s="8">
        <f t="shared" si="88"/>
        <v>185</v>
      </c>
      <c r="L930" s="8"/>
      <c r="M930" s="9">
        <v>247.85</v>
      </c>
      <c r="N930" s="9">
        <f t="shared" si="86"/>
        <v>45852.25</v>
      </c>
      <c r="O930" s="9"/>
      <c r="P930" s="9"/>
      <c r="Q930" s="10" t="s">
        <v>297</v>
      </c>
    </row>
    <row r="931" spans="1:17" s="11" customFormat="1" ht="39.950000000000003" customHeight="1" x14ac:dyDescent="0.3">
      <c r="A931" s="18" t="s">
        <v>1915</v>
      </c>
      <c r="B931" s="23">
        <v>45597</v>
      </c>
      <c r="C931" s="8"/>
      <c r="D931" s="25" t="s">
        <v>2386</v>
      </c>
      <c r="E931" s="12" t="s">
        <v>402</v>
      </c>
      <c r="F931" s="18" t="s">
        <v>1779</v>
      </c>
      <c r="G931" s="8">
        <v>7</v>
      </c>
      <c r="H931" s="8"/>
      <c r="I931" s="8">
        <f>2+1+1+1+1</f>
        <v>6</v>
      </c>
      <c r="J931" s="8"/>
      <c r="K931" s="8">
        <f t="shared" si="88"/>
        <v>1</v>
      </c>
      <c r="L931" s="8"/>
      <c r="M931" s="9">
        <v>428.22</v>
      </c>
      <c r="N931" s="9">
        <f t="shared" si="86"/>
        <v>428.22</v>
      </c>
      <c r="O931" s="9"/>
      <c r="P931" s="9"/>
      <c r="Q931" s="10" t="s">
        <v>297</v>
      </c>
    </row>
    <row r="932" spans="1:17" s="11" customFormat="1" ht="39.950000000000003" customHeight="1" x14ac:dyDescent="0.3">
      <c r="A932" s="18" t="s">
        <v>1916</v>
      </c>
      <c r="B932" s="23">
        <v>45597</v>
      </c>
      <c r="C932" s="8"/>
      <c r="D932" s="25" t="s">
        <v>2386</v>
      </c>
      <c r="E932" s="12" t="s">
        <v>1250</v>
      </c>
      <c r="F932" s="18" t="s">
        <v>1779</v>
      </c>
      <c r="G932" s="8">
        <f>71-1</f>
        <v>70</v>
      </c>
      <c r="H932" s="8"/>
      <c r="I932" s="8">
        <f>3+1+1+1+1+3+1+1+1+1+1+1+2+1+1+1+1+2+2+1</f>
        <v>27</v>
      </c>
      <c r="J932" s="8"/>
      <c r="K932" s="8">
        <f t="shared" si="88"/>
        <v>43</v>
      </c>
      <c r="L932" s="8">
        <v>48</v>
      </c>
      <c r="M932" s="9">
        <v>326.62</v>
      </c>
      <c r="N932" s="9">
        <f t="shared" si="86"/>
        <v>14044.66</v>
      </c>
      <c r="O932" s="9"/>
      <c r="P932" s="9"/>
      <c r="Q932" s="10" t="s">
        <v>297</v>
      </c>
    </row>
    <row r="933" spans="1:17" s="11" customFormat="1" ht="39.950000000000003" customHeight="1" x14ac:dyDescent="0.3">
      <c r="A933" s="18" t="s">
        <v>1917</v>
      </c>
      <c r="B933" s="23">
        <v>45597</v>
      </c>
      <c r="C933" s="8"/>
      <c r="D933" s="25" t="s">
        <v>2386</v>
      </c>
      <c r="E933" s="12" t="s">
        <v>403</v>
      </c>
      <c r="F933" s="18" t="s">
        <v>1779</v>
      </c>
      <c r="G933" s="8">
        <v>9</v>
      </c>
      <c r="H933" s="8"/>
      <c r="I933" s="8">
        <v>1</v>
      </c>
      <c r="J933" s="8"/>
      <c r="K933" s="8">
        <f t="shared" si="88"/>
        <v>8</v>
      </c>
      <c r="L933" s="8"/>
      <c r="M933" s="9">
        <v>428.22</v>
      </c>
      <c r="N933" s="9">
        <f t="shared" si="86"/>
        <v>3425.76</v>
      </c>
      <c r="O933" s="9"/>
      <c r="P933" s="9"/>
      <c r="Q933" s="10" t="s">
        <v>297</v>
      </c>
    </row>
    <row r="934" spans="1:17" s="11" customFormat="1" ht="39.950000000000003" customHeight="1" x14ac:dyDescent="0.3">
      <c r="A934" s="18" t="s">
        <v>1918</v>
      </c>
      <c r="B934" s="23">
        <v>45597</v>
      </c>
      <c r="C934" s="8"/>
      <c r="D934" s="25" t="s">
        <v>2386</v>
      </c>
      <c r="E934" s="12" t="s">
        <v>404</v>
      </c>
      <c r="F934" s="18" t="s">
        <v>1779</v>
      </c>
      <c r="G934" s="8">
        <v>21</v>
      </c>
      <c r="H934" s="8"/>
      <c r="I934" s="8">
        <f>1+2+1</f>
        <v>4</v>
      </c>
      <c r="J934" s="8"/>
      <c r="K934" s="8">
        <f t="shared" si="88"/>
        <v>17</v>
      </c>
      <c r="L934" s="8"/>
      <c r="M934" s="9">
        <v>428.22</v>
      </c>
      <c r="N934" s="9">
        <f t="shared" si="86"/>
        <v>7279.7400000000007</v>
      </c>
      <c r="O934" s="9"/>
      <c r="P934" s="9"/>
      <c r="Q934" s="10" t="s">
        <v>297</v>
      </c>
    </row>
    <row r="935" spans="1:17" s="11" customFormat="1" ht="39.950000000000003" customHeight="1" x14ac:dyDescent="0.3">
      <c r="A935" s="18" t="s">
        <v>1919</v>
      </c>
      <c r="B935" s="23">
        <v>45616</v>
      </c>
      <c r="C935" s="8"/>
      <c r="D935" s="25"/>
      <c r="E935" s="12" t="s">
        <v>470</v>
      </c>
      <c r="F935" s="18" t="s">
        <v>1779</v>
      </c>
      <c r="G935" s="8">
        <v>2</v>
      </c>
      <c r="H935" s="8"/>
      <c r="I935" s="8"/>
      <c r="J935" s="8"/>
      <c r="K935" s="8">
        <f t="shared" si="88"/>
        <v>2</v>
      </c>
      <c r="L935" s="8"/>
      <c r="M935" s="9">
        <v>348.1</v>
      </c>
      <c r="N935" s="9">
        <f t="shared" si="86"/>
        <v>696.2</v>
      </c>
      <c r="O935" s="9"/>
      <c r="P935" s="9"/>
      <c r="Q935" s="10" t="s">
        <v>433</v>
      </c>
    </row>
    <row r="936" spans="1:17" s="11" customFormat="1" ht="39.950000000000003" customHeight="1" x14ac:dyDescent="0.3">
      <c r="A936" s="18" t="s">
        <v>1920</v>
      </c>
      <c r="B936" s="23">
        <v>45792</v>
      </c>
      <c r="C936" s="8">
        <v>10</v>
      </c>
      <c r="D936" s="25" t="s">
        <v>2326</v>
      </c>
      <c r="E936" s="12" t="s">
        <v>1819</v>
      </c>
      <c r="F936" s="18" t="s">
        <v>1780</v>
      </c>
      <c r="G936" s="8"/>
      <c r="H936" s="8">
        <v>10</v>
      </c>
      <c r="I936" s="8"/>
      <c r="J936" s="8"/>
      <c r="K936" s="8">
        <f t="shared" si="88"/>
        <v>10</v>
      </c>
      <c r="L936" s="8"/>
      <c r="M936" s="9">
        <v>1416</v>
      </c>
      <c r="N936" s="9">
        <f t="shared" si="86"/>
        <v>14160</v>
      </c>
      <c r="O936" s="9"/>
      <c r="P936" s="9"/>
      <c r="Q936" s="10" t="s">
        <v>1191</v>
      </c>
    </row>
    <row r="937" spans="1:17" s="11" customFormat="1" ht="39.950000000000003" customHeight="1" x14ac:dyDescent="0.3">
      <c r="A937" s="18" t="s">
        <v>1921</v>
      </c>
      <c r="B937" s="23">
        <v>45616</v>
      </c>
      <c r="C937" s="8"/>
      <c r="D937" s="25" t="s">
        <v>2394</v>
      </c>
      <c r="E937" s="12" t="s">
        <v>94</v>
      </c>
      <c r="F937" s="18" t="s">
        <v>1779</v>
      </c>
      <c r="G937" s="8">
        <v>1</v>
      </c>
      <c r="H937" s="8"/>
      <c r="I937" s="8"/>
      <c r="J937" s="8"/>
      <c r="K937" s="8">
        <f>+G937+H937-I937</f>
        <v>1</v>
      </c>
      <c r="L937" s="8"/>
      <c r="M937" s="9"/>
      <c r="N937" s="9">
        <f t="shared" si="86"/>
        <v>0</v>
      </c>
      <c r="O937" s="9"/>
      <c r="P937" s="9"/>
      <c r="Q937" s="10" t="s">
        <v>25</v>
      </c>
    </row>
    <row r="938" spans="1:17" s="11" customFormat="1" ht="39.950000000000003" customHeight="1" x14ac:dyDescent="0.3">
      <c r="A938" s="18" t="s">
        <v>1922</v>
      </c>
      <c r="B938" s="23"/>
      <c r="C938" s="8"/>
      <c r="D938" s="25" t="s">
        <v>2385</v>
      </c>
      <c r="E938" s="12" t="s">
        <v>195</v>
      </c>
      <c r="F938" s="18" t="s">
        <v>1779</v>
      </c>
      <c r="G938" s="8">
        <v>1</v>
      </c>
      <c r="H938" s="8"/>
      <c r="I938" s="8">
        <v>1</v>
      </c>
      <c r="J938" s="8"/>
      <c r="K938" s="8">
        <f>+G938+H938+-I938</f>
        <v>0</v>
      </c>
      <c r="L938" s="8"/>
      <c r="M938" s="9">
        <v>2744.42</v>
      </c>
      <c r="N938" s="9">
        <f t="shared" si="86"/>
        <v>0</v>
      </c>
      <c r="O938" s="9"/>
      <c r="P938" s="9"/>
      <c r="Q938" s="10" t="s">
        <v>159</v>
      </c>
    </row>
    <row r="939" spans="1:17" s="11" customFormat="1" ht="39.950000000000003" customHeight="1" x14ac:dyDescent="0.3">
      <c r="A939" s="18" t="s">
        <v>1923</v>
      </c>
      <c r="B939" s="23">
        <v>45623</v>
      </c>
      <c r="C939" s="8"/>
      <c r="D939" s="25" t="s">
        <v>2386</v>
      </c>
      <c r="E939" s="12" t="s">
        <v>406</v>
      </c>
      <c r="F939" s="18" t="s">
        <v>1779</v>
      </c>
      <c r="G939" s="8">
        <v>127</v>
      </c>
      <c r="H939" s="8"/>
      <c r="I939" s="8">
        <f>10+5</f>
        <v>15</v>
      </c>
      <c r="J939" s="8"/>
      <c r="K939" s="8">
        <f>+G939+H939+-I939</f>
        <v>112</v>
      </c>
      <c r="L939" s="8"/>
      <c r="M939" s="9">
        <v>19.489999999999998</v>
      </c>
      <c r="N939" s="9">
        <f t="shared" si="86"/>
        <v>2182.8799999999997</v>
      </c>
      <c r="O939" s="9"/>
      <c r="P939" s="9"/>
      <c r="Q939" s="10" t="s">
        <v>297</v>
      </c>
    </row>
    <row r="940" spans="1:17" s="11" customFormat="1" ht="39.950000000000003" customHeight="1" x14ac:dyDescent="0.3">
      <c r="A940" s="18" t="s">
        <v>1924</v>
      </c>
      <c r="B940" s="23">
        <v>45623</v>
      </c>
      <c r="C940" s="8"/>
      <c r="D940" s="25" t="s">
        <v>2386</v>
      </c>
      <c r="E940" s="12" t="s">
        <v>1533</v>
      </c>
      <c r="F940" s="18" t="s">
        <v>1779</v>
      </c>
      <c r="G940" s="8"/>
      <c r="H940" s="8">
        <v>4000</v>
      </c>
      <c r="I940" s="8">
        <f>200+100+50+100</f>
        <v>450</v>
      </c>
      <c r="J940" s="8"/>
      <c r="K940" s="8">
        <f>+G940+H940-I940+J940</f>
        <v>3550</v>
      </c>
      <c r="L940" s="8"/>
      <c r="M940" s="9">
        <v>33.04</v>
      </c>
      <c r="N940" s="9">
        <f t="shared" si="86"/>
        <v>117292</v>
      </c>
      <c r="O940" s="9"/>
      <c r="P940" s="9"/>
      <c r="Q940" s="10"/>
    </row>
    <row r="941" spans="1:17" s="11" customFormat="1" ht="39.950000000000003" customHeight="1" x14ac:dyDescent="0.3">
      <c r="A941" s="18" t="s">
        <v>1925</v>
      </c>
      <c r="B941" s="23"/>
      <c r="C941" s="8"/>
      <c r="D941" s="25" t="s">
        <v>2444</v>
      </c>
      <c r="E941" s="12" t="s">
        <v>1694</v>
      </c>
      <c r="F941" s="18" t="s">
        <v>1779</v>
      </c>
      <c r="G941" s="8">
        <v>3</v>
      </c>
      <c r="H941" s="8"/>
      <c r="I941" s="8"/>
      <c r="J941" s="8">
        <v>0</v>
      </c>
      <c r="K941" s="8">
        <f>+G941+H941-I941+J941</f>
        <v>3</v>
      </c>
      <c r="L941" s="8"/>
      <c r="M941" s="9"/>
      <c r="N941" s="9"/>
      <c r="O941" s="9"/>
      <c r="P941" s="9"/>
      <c r="Q941" s="10" t="s">
        <v>1887</v>
      </c>
    </row>
    <row r="942" spans="1:17" s="11" customFormat="1" ht="39.950000000000003" customHeight="1" x14ac:dyDescent="0.3">
      <c r="A942" s="18" t="s">
        <v>1926</v>
      </c>
      <c r="B942" s="23">
        <v>45623</v>
      </c>
      <c r="C942" s="8"/>
      <c r="D942" s="25" t="s">
        <v>2318</v>
      </c>
      <c r="E942" s="12" t="s">
        <v>1516</v>
      </c>
      <c r="F942" s="18" t="s">
        <v>1779</v>
      </c>
      <c r="G942" s="8"/>
      <c r="H942" s="8">
        <v>10</v>
      </c>
      <c r="I942" s="8"/>
      <c r="J942" s="8"/>
      <c r="K942" s="8">
        <f>+G942+H942-I942+J942</f>
        <v>10</v>
      </c>
      <c r="L942" s="8"/>
      <c r="M942" s="9">
        <v>375.45240000000001</v>
      </c>
      <c r="N942" s="9">
        <f t="shared" ref="N942:N974" si="89">+K942*M942</f>
        <v>3754.5240000000003</v>
      </c>
      <c r="O942" s="9"/>
      <c r="P942" s="9"/>
      <c r="Q942" s="10" t="s">
        <v>1479</v>
      </c>
    </row>
    <row r="943" spans="1:17" s="11" customFormat="1" ht="39.950000000000003" customHeight="1" x14ac:dyDescent="0.3">
      <c r="A943" s="18" t="s">
        <v>1927</v>
      </c>
      <c r="B943" s="23">
        <v>45623</v>
      </c>
      <c r="C943" s="8"/>
      <c r="D943" s="25" t="s">
        <v>2318</v>
      </c>
      <c r="E943" s="12" t="s">
        <v>116</v>
      </c>
      <c r="F943" s="18" t="s">
        <v>1779</v>
      </c>
      <c r="G943" s="8">
        <f>49-1-1</f>
        <v>47</v>
      </c>
      <c r="H943" s="8"/>
      <c r="I943" s="8">
        <f>1+1+1+2+2+1+3+1+1+1</f>
        <v>14</v>
      </c>
      <c r="J943" s="8"/>
      <c r="K943" s="8">
        <f>+G943+H943-I943</f>
        <v>33</v>
      </c>
      <c r="L943" s="8">
        <v>22</v>
      </c>
      <c r="M943" s="9">
        <v>397.16</v>
      </c>
      <c r="N943" s="9">
        <f t="shared" si="89"/>
        <v>13106.28</v>
      </c>
      <c r="O943" s="9"/>
      <c r="P943" s="9"/>
      <c r="Q943" s="10" t="s">
        <v>109</v>
      </c>
    </row>
    <row r="944" spans="1:17" s="11" customFormat="1" ht="39.950000000000003" customHeight="1" x14ac:dyDescent="0.3">
      <c r="A944" s="18" t="s">
        <v>1928</v>
      </c>
      <c r="B944" s="23">
        <v>45623</v>
      </c>
      <c r="C944" s="8"/>
      <c r="D944" s="25" t="s">
        <v>2318</v>
      </c>
      <c r="E944" s="12" t="s">
        <v>1375</v>
      </c>
      <c r="F944" s="18" t="s">
        <v>1779</v>
      </c>
      <c r="G944" s="8">
        <f>6+1+5+1-1</f>
        <v>12</v>
      </c>
      <c r="H944" s="8"/>
      <c r="I944" s="8">
        <f>6+1+1+1+2+1</f>
        <v>12</v>
      </c>
      <c r="J944" s="8"/>
      <c r="K944" s="8">
        <f>+G944+H944-I944</f>
        <v>0</v>
      </c>
      <c r="L944" s="8"/>
      <c r="M944" s="9">
        <v>122.88</v>
      </c>
      <c r="N944" s="9">
        <f t="shared" si="89"/>
        <v>0</v>
      </c>
      <c r="O944" s="9"/>
      <c r="P944" s="9"/>
      <c r="Q944" s="10" t="s">
        <v>109</v>
      </c>
    </row>
    <row r="945" spans="1:17" s="11" customFormat="1" ht="39.950000000000003" customHeight="1" x14ac:dyDescent="0.3">
      <c r="A945" s="18" t="s">
        <v>1929</v>
      </c>
      <c r="B945" s="19" t="s">
        <v>2305</v>
      </c>
      <c r="C945" s="20">
        <v>30</v>
      </c>
      <c r="D945" s="53" t="s">
        <v>2443</v>
      </c>
      <c r="E945" s="12" t="s">
        <v>2310</v>
      </c>
      <c r="F945" s="18" t="s">
        <v>1779</v>
      </c>
      <c r="G945" s="8"/>
      <c r="H945" s="8">
        <v>24</v>
      </c>
      <c r="I945" s="8"/>
      <c r="J945" s="8"/>
      <c r="K945" s="8">
        <f>+G945+H945-I945+J945</f>
        <v>24</v>
      </c>
      <c r="L945" s="8"/>
      <c r="M945" s="9">
        <v>127.44</v>
      </c>
      <c r="N945" s="9">
        <f t="shared" si="89"/>
        <v>3058.56</v>
      </c>
      <c r="O945" s="9"/>
      <c r="P945" s="9"/>
      <c r="Q945" s="10" t="s">
        <v>25</v>
      </c>
    </row>
    <row r="946" spans="1:17" s="11" customFormat="1" ht="39.950000000000003" customHeight="1" x14ac:dyDescent="0.3">
      <c r="A946" s="18" t="s">
        <v>1930</v>
      </c>
      <c r="B946" s="23">
        <v>45784</v>
      </c>
      <c r="C946" s="8"/>
      <c r="D946" s="53" t="s">
        <v>2443</v>
      </c>
      <c r="E946" s="12" t="s">
        <v>2109</v>
      </c>
      <c r="F946" s="18" t="s">
        <v>1779</v>
      </c>
      <c r="G946" s="8"/>
      <c r="H946" s="8">
        <v>1</v>
      </c>
      <c r="I946" s="8">
        <v>1</v>
      </c>
      <c r="J946" s="8"/>
      <c r="K946" s="8">
        <f>+G946+H946-I946+J946</f>
        <v>0</v>
      </c>
      <c r="L946" s="8"/>
      <c r="M946" s="9">
        <v>1250</v>
      </c>
      <c r="N946" s="9">
        <f t="shared" si="89"/>
        <v>0</v>
      </c>
      <c r="O946" s="9"/>
      <c r="P946" s="9"/>
      <c r="Q946" s="10" t="s">
        <v>25</v>
      </c>
    </row>
    <row r="947" spans="1:17" s="11" customFormat="1" ht="39.950000000000003" customHeight="1" x14ac:dyDescent="0.3">
      <c r="A947" s="18" t="s">
        <v>1931</v>
      </c>
      <c r="B947" s="23">
        <v>45623</v>
      </c>
      <c r="C947" s="8"/>
      <c r="D947" s="25" t="s">
        <v>2440</v>
      </c>
      <c r="E947" s="12" t="s">
        <v>282</v>
      </c>
      <c r="F947" s="18" t="s">
        <v>1779</v>
      </c>
      <c r="G947" s="8">
        <v>15</v>
      </c>
      <c r="H947" s="8"/>
      <c r="I947" s="8"/>
      <c r="J947" s="8"/>
      <c r="K947" s="8">
        <f t="shared" ref="K947:K957" si="90">+G947+H947+-I947</f>
        <v>15</v>
      </c>
      <c r="L947" s="8"/>
      <c r="M947" s="9">
        <v>275</v>
      </c>
      <c r="N947" s="9">
        <f t="shared" si="89"/>
        <v>4125</v>
      </c>
      <c r="O947" s="9"/>
      <c r="P947" s="9"/>
      <c r="Q947" s="10" t="s">
        <v>235</v>
      </c>
    </row>
    <row r="948" spans="1:17" s="11" customFormat="1" ht="39.950000000000003" customHeight="1" x14ac:dyDescent="0.3">
      <c r="A948" s="18" t="s">
        <v>1932</v>
      </c>
      <c r="B948" s="23">
        <v>45621</v>
      </c>
      <c r="C948" s="8"/>
      <c r="D948" s="25" t="s">
        <v>2385</v>
      </c>
      <c r="E948" s="12" t="s">
        <v>407</v>
      </c>
      <c r="F948" s="18" t="s">
        <v>1779</v>
      </c>
      <c r="G948" s="8">
        <v>8</v>
      </c>
      <c r="H948" s="8"/>
      <c r="I948" s="8">
        <f>1+1+1+1+1+1</f>
        <v>6</v>
      </c>
      <c r="J948" s="8"/>
      <c r="K948" s="8">
        <f t="shared" si="90"/>
        <v>2</v>
      </c>
      <c r="L948" s="8"/>
      <c r="M948" s="9">
        <v>47</v>
      </c>
      <c r="N948" s="9">
        <f t="shared" si="89"/>
        <v>94</v>
      </c>
      <c r="O948" s="9"/>
      <c r="P948" s="9"/>
      <c r="Q948" s="10" t="s">
        <v>297</v>
      </c>
    </row>
    <row r="949" spans="1:17" s="11" customFormat="1" ht="39.950000000000003" customHeight="1" x14ac:dyDescent="0.3">
      <c r="A949" s="18" t="s">
        <v>1933</v>
      </c>
      <c r="B949" s="23">
        <v>45621</v>
      </c>
      <c r="C949" s="8"/>
      <c r="D949" s="25" t="s">
        <v>2385</v>
      </c>
      <c r="E949" s="12" t="s">
        <v>408</v>
      </c>
      <c r="F949" s="18" t="s">
        <v>1779</v>
      </c>
      <c r="G949" s="8">
        <f>12+9</f>
        <v>21</v>
      </c>
      <c r="H949" s="8"/>
      <c r="I949" s="8">
        <v>1</v>
      </c>
      <c r="J949" s="8"/>
      <c r="K949" s="8">
        <f t="shared" si="90"/>
        <v>20</v>
      </c>
      <c r="L949" s="8"/>
      <c r="M949" s="9">
        <v>25.52</v>
      </c>
      <c r="N949" s="9">
        <f t="shared" si="89"/>
        <v>510.4</v>
      </c>
      <c r="O949" s="9"/>
      <c r="P949" s="9"/>
      <c r="Q949" s="10" t="s">
        <v>297</v>
      </c>
    </row>
    <row r="950" spans="1:17" s="11" customFormat="1" ht="39.950000000000003" customHeight="1" x14ac:dyDescent="0.3">
      <c r="A950" s="18" t="s">
        <v>1934</v>
      </c>
      <c r="B950" s="23">
        <v>45621</v>
      </c>
      <c r="C950" s="8"/>
      <c r="D950" s="25" t="s">
        <v>2385</v>
      </c>
      <c r="E950" s="12" t="s">
        <v>409</v>
      </c>
      <c r="F950" s="18" t="s">
        <v>1779</v>
      </c>
      <c r="G950" s="8">
        <v>18</v>
      </c>
      <c r="H950" s="8"/>
      <c r="I950" s="8">
        <f>2+2+1+1</f>
        <v>6</v>
      </c>
      <c r="J950" s="8"/>
      <c r="K950" s="8">
        <f t="shared" si="90"/>
        <v>12</v>
      </c>
      <c r="L950" s="8"/>
      <c r="M950" s="9">
        <v>23.6</v>
      </c>
      <c r="N950" s="9">
        <f t="shared" si="89"/>
        <v>283.20000000000005</v>
      </c>
      <c r="O950" s="9"/>
      <c r="P950" s="9"/>
      <c r="Q950" s="10" t="s">
        <v>297</v>
      </c>
    </row>
    <row r="951" spans="1:17" s="11" customFormat="1" ht="39.950000000000003" customHeight="1" x14ac:dyDescent="0.3">
      <c r="A951" s="18" t="s">
        <v>1935</v>
      </c>
      <c r="B951" s="23">
        <v>45623</v>
      </c>
      <c r="C951" s="8"/>
      <c r="D951" s="25" t="s">
        <v>2385</v>
      </c>
      <c r="E951" s="12" t="s">
        <v>410</v>
      </c>
      <c r="F951" s="18" t="s">
        <v>1779</v>
      </c>
      <c r="G951" s="8">
        <v>6</v>
      </c>
      <c r="H951" s="8"/>
      <c r="I951" s="8">
        <v>1</v>
      </c>
      <c r="J951" s="8"/>
      <c r="K951" s="8">
        <f t="shared" si="90"/>
        <v>5</v>
      </c>
      <c r="L951" s="8"/>
      <c r="M951" s="9">
        <v>6.5</v>
      </c>
      <c r="N951" s="9">
        <f t="shared" si="89"/>
        <v>32.5</v>
      </c>
      <c r="O951" s="9"/>
      <c r="P951" s="9"/>
      <c r="Q951" s="10" t="s">
        <v>297</v>
      </c>
    </row>
    <row r="952" spans="1:17" s="11" customFormat="1" ht="39.950000000000003" customHeight="1" x14ac:dyDescent="0.3">
      <c r="A952" s="18" t="s">
        <v>1936</v>
      </c>
      <c r="B952" s="23">
        <v>45623</v>
      </c>
      <c r="C952" s="8"/>
      <c r="D952" s="25" t="s">
        <v>2385</v>
      </c>
      <c r="E952" s="12" t="s">
        <v>411</v>
      </c>
      <c r="F952" s="18" t="s">
        <v>1779</v>
      </c>
      <c r="G952" s="8">
        <v>49</v>
      </c>
      <c r="H952" s="8"/>
      <c r="I952" s="8">
        <v>10</v>
      </c>
      <c r="J952" s="8"/>
      <c r="K952" s="8">
        <f t="shared" si="90"/>
        <v>39</v>
      </c>
      <c r="L952" s="8"/>
      <c r="M952" s="9">
        <v>6.5</v>
      </c>
      <c r="N952" s="9">
        <f t="shared" si="89"/>
        <v>253.5</v>
      </c>
      <c r="O952" s="9"/>
      <c r="P952" s="9"/>
      <c r="Q952" s="10" t="s">
        <v>297</v>
      </c>
    </row>
    <row r="953" spans="1:17" s="11" customFormat="1" ht="39.950000000000003" customHeight="1" x14ac:dyDescent="0.3">
      <c r="A953" s="18" t="s">
        <v>1937</v>
      </c>
      <c r="B953" s="23">
        <v>45623</v>
      </c>
      <c r="C953" s="8"/>
      <c r="D953" s="25" t="s">
        <v>2438</v>
      </c>
      <c r="E953" s="12" t="s">
        <v>296</v>
      </c>
      <c r="F953" s="18" t="s">
        <v>1779</v>
      </c>
      <c r="G953" s="8">
        <v>10</v>
      </c>
      <c r="H953" s="8"/>
      <c r="I953" s="8">
        <v>10</v>
      </c>
      <c r="J953" s="8"/>
      <c r="K953" s="8">
        <f t="shared" si="90"/>
        <v>0</v>
      </c>
      <c r="L953" s="8"/>
      <c r="M953" s="9">
        <v>6313</v>
      </c>
      <c r="N953" s="9">
        <f t="shared" si="89"/>
        <v>0</v>
      </c>
      <c r="O953" s="9"/>
      <c r="P953" s="9"/>
      <c r="Q953" s="10" t="s">
        <v>235</v>
      </c>
    </row>
    <row r="954" spans="1:17" s="11" customFormat="1" ht="39.950000000000003" customHeight="1" x14ac:dyDescent="0.3">
      <c r="A954" s="18" t="s">
        <v>1938</v>
      </c>
      <c r="B954" s="23">
        <v>45623</v>
      </c>
      <c r="C954" s="8"/>
      <c r="D954" s="25" t="s">
        <v>2438</v>
      </c>
      <c r="E954" s="12" t="s">
        <v>295</v>
      </c>
      <c r="F954" s="18" t="s">
        <v>1779</v>
      </c>
      <c r="G954" s="8">
        <v>5</v>
      </c>
      <c r="H954" s="8"/>
      <c r="I954" s="8">
        <v>5</v>
      </c>
      <c r="J954" s="8"/>
      <c r="K954" s="8">
        <f t="shared" si="90"/>
        <v>0</v>
      </c>
      <c r="L954" s="8"/>
      <c r="M954" s="9">
        <v>2655</v>
      </c>
      <c r="N954" s="9">
        <f t="shared" si="89"/>
        <v>0</v>
      </c>
      <c r="O954" s="9"/>
      <c r="P954" s="9"/>
      <c r="Q954" s="10" t="s">
        <v>235</v>
      </c>
    </row>
    <row r="955" spans="1:17" s="11" customFormat="1" ht="39.950000000000003" customHeight="1" x14ac:dyDescent="0.3">
      <c r="A955" s="18" t="s">
        <v>1939</v>
      </c>
      <c r="B955" s="23">
        <v>45623</v>
      </c>
      <c r="C955" s="8"/>
      <c r="D955" s="25" t="s">
        <v>2438</v>
      </c>
      <c r="E955" s="12" t="s">
        <v>294</v>
      </c>
      <c r="F955" s="18" t="s">
        <v>1779</v>
      </c>
      <c r="G955" s="8">
        <v>4</v>
      </c>
      <c r="H955" s="8"/>
      <c r="I955" s="8">
        <v>4</v>
      </c>
      <c r="J955" s="8"/>
      <c r="K955" s="8">
        <f t="shared" si="90"/>
        <v>0</v>
      </c>
      <c r="L955" s="8"/>
      <c r="M955" s="9">
        <v>6313</v>
      </c>
      <c r="N955" s="9">
        <f t="shared" si="89"/>
        <v>0</v>
      </c>
      <c r="O955" s="9"/>
      <c r="P955" s="9"/>
      <c r="Q955" s="10" t="s">
        <v>235</v>
      </c>
    </row>
    <row r="956" spans="1:17" s="11" customFormat="1" ht="39.950000000000003" customHeight="1" x14ac:dyDescent="0.3">
      <c r="A956" s="18" t="s">
        <v>1940</v>
      </c>
      <c r="B956" s="23">
        <v>45623</v>
      </c>
      <c r="C956" s="8"/>
      <c r="D956" s="25" t="s">
        <v>2438</v>
      </c>
      <c r="E956" s="12" t="s">
        <v>1555</v>
      </c>
      <c r="F956" s="18" t="s">
        <v>1779</v>
      </c>
      <c r="G956" s="8">
        <v>15</v>
      </c>
      <c r="H956" s="8"/>
      <c r="I956" s="8">
        <f>5+1+2+1+1+1+3</f>
        <v>14</v>
      </c>
      <c r="J956" s="8"/>
      <c r="K956" s="8">
        <f t="shared" si="90"/>
        <v>1</v>
      </c>
      <c r="L956" s="8"/>
      <c r="M956" s="9">
        <v>265.5</v>
      </c>
      <c r="N956" s="9">
        <f t="shared" si="89"/>
        <v>265.5</v>
      </c>
      <c r="O956" s="9"/>
      <c r="P956" s="9"/>
      <c r="Q956" s="10" t="s">
        <v>235</v>
      </c>
    </row>
    <row r="957" spans="1:17" s="11" customFormat="1" ht="39.950000000000003" customHeight="1" x14ac:dyDescent="0.3">
      <c r="A957" s="18" t="s">
        <v>1941</v>
      </c>
      <c r="B957" s="23" t="s">
        <v>1723</v>
      </c>
      <c r="C957" s="8"/>
      <c r="D957" s="24" t="s">
        <v>2389</v>
      </c>
      <c r="E957" s="12" t="s">
        <v>1751</v>
      </c>
      <c r="F957" s="18" t="s">
        <v>1779</v>
      </c>
      <c r="G957" s="8"/>
      <c r="H957" s="8">
        <v>10</v>
      </c>
      <c r="I957" s="8">
        <f>5+4+1</f>
        <v>10</v>
      </c>
      <c r="J957" s="8"/>
      <c r="K957" s="8">
        <f t="shared" si="90"/>
        <v>0</v>
      </c>
      <c r="L957" s="8"/>
      <c r="M957" s="9">
        <v>50</v>
      </c>
      <c r="N957" s="9">
        <f t="shared" si="89"/>
        <v>0</v>
      </c>
      <c r="O957" s="9"/>
      <c r="P957" s="9"/>
      <c r="Q957" s="10" t="s">
        <v>18</v>
      </c>
    </row>
    <row r="958" spans="1:17" s="11" customFormat="1" ht="39.950000000000003" customHeight="1" x14ac:dyDescent="0.3">
      <c r="A958" s="18" t="s">
        <v>1942</v>
      </c>
      <c r="B958" s="23">
        <v>45623</v>
      </c>
      <c r="C958" s="8"/>
      <c r="D958" s="25" t="s">
        <v>2326</v>
      </c>
      <c r="E958" s="12" t="s">
        <v>1511</v>
      </c>
      <c r="F958" s="18" t="s">
        <v>1779</v>
      </c>
      <c r="G958" s="8"/>
      <c r="H958" s="8">
        <v>3</v>
      </c>
      <c r="I958" s="8"/>
      <c r="J958" s="8"/>
      <c r="K958" s="8">
        <f>+G958+H958-I958+J958</f>
        <v>3</v>
      </c>
      <c r="L958" s="8"/>
      <c r="M958" s="9">
        <v>899.99779999999998</v>
      </c>
      <c r="N958" s="9">
        <f t="shared" si="89"/>
        <v>2699.9933999999998</v>
      </c>
      <c r="O958" s="9"/>
      <c r="P958" s="9"/>
      <c r="Q958" s="10" t="s">
        <v>109</v>
      </c>
    </row>
    <row r="959" spans="1:17" s="11" customFormat="1" ht="39.950000000000003" customHeight="1" x14ac:dyDescent="0.3">
      <c r="A959" s="18" t="s">
        <v>1943</v>
      </c>
      <c r="B959" s="23">
        <v>45623</v>
      </c>
      <c r="C959" s="8"/>
      <c r="D959" s="25" t="s">
        <v>2321</v>
      </c>
      <c r="E959" s="12" t="s">
        <v>196</v>
      </c>
      <c r="F959" s="18" t="s">
        <v>1779</v>
      </c>
      <c r="G959" s="8">
        <f>128-2-1</f>
        <v>125</v>
      </c>
      <c r="H959" s="8"/>
      <c r="I959" s="8">
        <f>5+1+1+1+1+1+1+1+1+1+1+1+1+1+1+1+1+1+1</f>
        <v>23</v>
      </c>
      <c r="J959" s="8"/>
      <c r="K959" s="8">
        <f>+G959+H959+-I959</f>
        <v>102</v>
      </c>
      <c r="L959" s="8"/>
      <c r="M959" s="9">
        <v>70.8</v>
      </c>
      <c r="N959" s="9">
        <f t="shared" si="89"/>
        <v>7221.5999999999995</v>
      </c>
      <c r="O959" s="9"/>
      <c r="P959" s="9"/>
      <c r="Q959" s="10" t="s">
        <v>159</v>
      </c>
    </row>
    <row r="960" spans="1:17" s="11" customFormat="1" ht="39.950000000000003" customHeight="1" x14ac:dyDescent="0.3">
      <c r="A960" s="18" t="s">
        <v>1944</v>
      </c>
      <c r="B960" s="23">
        <v>45623</v>
      </c>
      <c r="C960" s="8"/>
      <c r="D960" s="53" t="s">
        <v>2443</v>
      </c>
      <c r="E960" s="12" t="s">
        <v>95</v>
      </c>
      <c r="F960" s="18" t="s">
        <v>1779</v>
      </c>
      <c r="G960" s="8">
        <v>9</v>
      </c>
      <c r="H960" s="8"/>
      <c r="I960" s="8"/>
      <c r="J960" s="8"/>
      <c r="K960" s="8">
        <f>+G960+H960-I960</f>
        <v>9</v>
      </c>
      <c r="L960" s="8"/>
      <c r="M960" s="9"/>
      <c r="N960" s="9">
        <f t="shared" si="89"/>
        <v>0</v>
      </c>
      <c r="O960" s="9"/>
      <c r="P960" s="9"/>
      <c r="Q960" s="10" t="s">
        <v>25</v>
      </c>
    </row>
    <row r="961" spans="1:17" s="11" customFormat="1" ht="39.950000000000003" customHeight="1" x14ac:dyDescent="0.3">
      <c r="A961" s="18" t="s">
        <v>1945</v>
      </c>
      <c r="B961" s="23">
        <v>45799</v>
      </c>
      <c r="C961" s="8">
        <v>10</v>
      </c>
      <c r="D961" s="25" t="s">
        <v>2330</v>
      </c>
      <c r="E961" s="12" t="s">
        <v>1851</v>
      </c>
      <c r="F961" s="18" t="s">
        <v>1780</v>
      </c>
      <c r="G961" s="8"/>
      <c r="H961" s="8">
        <v>15</v>
      </c>
      <c r="I961" s="8"/>
      <c r="J961" s="8"/>
      <c r="K961" s="8">
        <f>+G961+H961+-I961</f>
        <v>15</v>
      </c>
      <c r="L961" s="8"/>
      <c r="M961" s="9">
        <v>1167</v>
      </c>
      <c r="N961" s="9">
        <f t="shared" si="89"/>
        <v>17505</v>
      </c>
      <c r="O961" s="9"/>
      <c r="P961" s="9"/>
      <c r="Q961" s="10" t="s">
        <v>1191</v>
      </c>
    </row>
    <row r="962" spans="1:17" s="11" customFormat="1" ht="39.950000000000003" customHeight="1" x14ac:dyDescent="0.3">
      <c r="A962" s="18" t="s">
        <v>1946</v>
      </c>
      <c r="B962" s="23">
        <v>45623</v>
      </c>
      <c r="C962" s="8"/>
      <c r="D962" s="25" t="s">
        <v>2320</v>
      </c>
      <c r="E962" s="12" t="s">
        <v>96</v>
      </c>
      <c r="F962" s="18" t="s">
        <v>1779</v>
      </c>
      <c r="G962" s="8">
        <v>2</v>
      </c>
      <c r="H962" s="8"/>
      <c r="I962" s="8"/>
      <c r="J962" s="8"/>
      <c r="K962" s="8">
        <f>+G962+H962-I962</f>
        <v>2</v>
      </c>
      <c r="L962" s="8"/>
      <c r="M962" s="9"/>
      <c r="N962" s="9">
        <f t="shared" si="89"/>
        <v>0</v>
      </c>
      <c r="O962" s="9"/>
      <c r="P962" s="9"/>
      <c r="Q962" s="10" t="s">
        <v>25</v>
      </c>
    </row>
    <row r="963" spans="1:17" s="11" customFormat="1" ht="39.950000000000003" customHeight="1" x14ac:dyDescent="0.3">
      <c r="A963" s="18" t="s">
        <v>1947</v>
      </c>
      <c r="B963" s="23" t="s">
        <v>2381</v>
      </c>
      <c r="C963" s="8"/>
      <c r="D963" s="25" t="s">
        <v>2320</v>
      </c>
      <c r="E963" s="12" t="s">
        <v>2382</v>
      </c>
      <c r="F963" s="18" t="s">
        <v>1779</v>
      </c>
      <c r="G963" s="8">
        <v>6</v>
      </c>
      <c r="H963" s="8">
        <v>3</v>
      </c>
      <c r="I963" s="8">
        <v>6</v>
      </c>
      <c r="J963" s="8"/>
      <c r="K963" s="8">
        <f>+G963+H963+-I963</f>
        <v>3</v>
      </c>
      <c r="L963" s="8"/>
      <c r="M963" s="9">
        <v>306.8</v>
      </c>
      <c r="N963" s="9">
        <f t="shared" si="89"/>
        <v>920.40000000000009</v>
      </c>
      <c r="O963" s="9"/>
      <c r="P963" s="9"/>
      <c r="Q963" s="10" t="s">
        <v>496</v>
      </c>
    </row>
    <row r="964" spans="1:17" s="11" customFormat="1" ht="39.950000000000003" customHeight="1" x14ac:dyDescent="0.3">
      <c r="A964" s="18" t="s">
        <v>1948</v>
      </c>
      <c r="B964" s="19" t="s">
        <v>2337</v>
      </c>
      <c r="C964" s="20"/>
      <c r="D964" s="53" t="s">
        <v>2320</v>
      </c>
      <c r="E964" s="12" t="s">
        <v>2457</v>
      </c>
      <c r="F964" s="18" t="s">
        <v>1779</v>
      </c>
      <c r="G964" s="8"/>
      <c r="H964" s="8">
        <v>6</v>
      </c>
      <c r="I964" s="8"/>
      <c r="J964" s="8"/>
      <c r="K964" s="8">
        <f t="shared" ref="K964:K970" si="91">+G964+H964-I964+J964</f>
        <v>6</v>
      </c>
      <c r="L964" s="8"/>
      <c r="M964" s="9">
        <v>170.0026</v>
      </c>
      <c r="N964" s="9">
        <f t="shared" si="89"/>
        <v>1020.0155999999999</v>
      </c>
      <c r="O964" s="9"/>
      <c r="P964" s="9"/>
      <c r="Q964" s="10" t="s">
        <v>2379</v>
      </c>
    </row>
    <row r="965" spans="1:17" s="11" customFormat="1" ht="39.950000000000003" customHeight="1" x14ac:dyDescent="0.3">
      <c r="A965" s="18" t="s">
        <v>1949</v>
      </c>
      <c r="B965" s="19" t="s">
        <v>2337</v>
      </c>
      <c r="C965" s="20"/>
      <c r="D965" s="53" t="s">
        <v>2320</v>
      </c>
      <c r="E965" s="12" t="s">
        <v>2441</v>
      </c>
      <c r="F965" s="18" t="s">
        <v>1779</v>
      </c>
      <c r="G965" s="8"/>
      <c r="H965" s="8">
        <v>6</v>
      </c>
      <c r="I965" s="8"/>
      <c r="J965" s="8"/>
      <c r="K965" s="8">
        <f t="shared" si="91"/>
        <v>6</v>
      </c>
      <c r="L965" s="8"/>
      <c r="M965" s="9">
        <v>170.0026</v>
      </c>
      <c r="N965" s="9">
        <f t="shared" si="89"/>
        <v>1020.0155999999999</v>
      </c>
      <c r="O965" s="9"/>
      <c r="P965" s="9"/>
      <c r="Q965" s="10" t="s">
        <v>2379</v>
      </c>
    </row>
    <row r="966" spans="1:17" s="11" customFormat="1" ht="39.950000000000003" customHeight="1" x14ac:dyDescent="0.3">
      <c r="A966" s="18" t="s">
        <v>1950</v>
      </c>
      <c r="B966" s="19" t="s">
        <v>2337</v>
      </c>
      <c r="C966" s="20"/>
      <c r="D966" s="53" t="s">
        <v>2320</v>
      </c>
      <c r="E966" s="12" t="s">
        <v>2447</v>
      </c>
      <c r="F966" s="18" t="s">
        <v>1779</v>
      </c>
      <c r="G966" s="8"/>
      <c r="H966" s="8">
        <v>6</v>
      </c>
      <c r="I966" s="8"/>
      <c r="J966" s="8"/>
      <c r="K966" s="8">
        <f t="shared" si="91"/>
        <v>6</v>
      </c>
      <c r="L966" s="8"/>
      <c r="M966" s="9">
        <v>170.0026</v>
      </c>
      <c r="N966" s="9">
        <f t="shared" si="89"/>
        <v>1020.0155999999999</v>
      </c>
      <c r="O966" s="9"/>
      <c r="P966" s="9"/>
      <c r="Q966" s="10" t="s">
        <v>2379</v>
      </c>
    </row>
    <row r="967" spans="1:17" s="11" customFormat="1" ht="39.950000000000003" customHeight="1" x14ac:dyDescent="0.3">
      <c r="A967" s="18" t="s">
        <v>1951</v>
      </c>
      <c r="B967" s="19" t="s">
        <v>2337</v>
      </c>
      <c r="C967" s="20"/>
      <c r="D967" s="53" t="s">
        <v>2320</v>
      </c>
      <c r="E967" s="12" t="s">
        <v>2448</v>
      </c>
      <c r="F967" s="18" t="s">
        <v>1779</v>
      </c>
      <c r="G967" s="8"/>
      <c r="H967" s="8">
        <v>6</v>
      </c>
      <c r="I967" s="8"/>
      <c r="J967" s="8"/>
      <c r="K967" s="8">
        <f t="shared" si="91"/>
        <v>6</v>
      </c>
      <c r="L967" s="8"/>
      <c r="M967" s="9">
        <v>170.0026</v>
      </c>
      <c r="N967" s="9">
        <f t="shared" si="89"/>
        <v>1020.0155999999999</v>
      </c>
      <c r="O967" s="9"/>
      <c r="P967" s="9"/>
      <c r="Q967" s="10" t="s">
        <v>2379</v>
      </c>
    </row>
    <row r="968" spans="1:17" s="11" customFormat="1" ht="39.950000000000003" customHeight="1" x14ac:dyDescent="0.3">
      <c r="A968" s="18" t="s">
        <v>1952</v>
      </c>
      <c r="B968" s="19" t="s">
        <v>2337</v>
      </c>
      <c r="C968" s="20"/>
      <c r="D968" s="53" t="s">
        <v>2320</v>
      </c>
      <c r="E968" s="12" t="s">
        <v>2462</v>
      </c>
      <c r="F968" s="21" t="s">
        <v>1779</v>
      </c>
      <c r="G968" s="8"/>
      <c r="H968" s="8">
        <v>6</v>
      </c>
      <c r="I968" s="8"/>
      <c r="J968" s="8"/>
      <c r="K968" s="8">
        <f t="shared" si="91"/>
        <v>6</v>
      </c>
      <c r="L968" s="8"/>
      <c r="M968" s="9">
        <v>170.0026</v>
      </c>
      <c r="N968" s="9">
        <f t="shared" si="89"/>
        <v>1020.0155999999999</v>
      </c>
      <c r="O968" s="9"/>
      <c r="P968" s="9"/>
      <c r="Q968" s="10" t="s">
        <v>2379</v>
      </c>
    </row>
    <row r="969" spans="1:17" s="11" customFormat="1" ht="39.950000000000003" customHeight="1" x14ac:dyDescent="0.3">
      <c r="A969" s="18" t="s">
        <v>1953</v>
      </c>
      <c r="B969" s="19" t="s">
        <v>2337</v>
      </c>
      <c r="C969" s="20"/>
      <c r="D969" s="53" t="s">
        <v>2320</v>
      </c>
      <c r="E969" s="12" t="s">
        <v>2470</v>
      </c>
      <c r="F969" s="21" t="s">
        <v>1779</v>
      </c>
      <c r="G969" s="8"/>
      <c r="H969" s="8">
        <v>6</v>
      </c>
      <c r="I969" s="8"/>
      <c r="J969" s="8"/>
      <c r="K969" s="8">
        <f t="shared" si="91"/>
        <v>6</v>
      </c>
      <c r="L969" s="8"/>
      <c r="M969" s="9">
        <v>170.0026</v>
      </c>
      <c r="N969" s="9">
        <f t="shared" si="89"/>
        <v>1020.0155999999999</v>
      </c>
      <c r="O969" s="9"/>
      <c r="P969" s="9"/>
      <c r="Q969" s="10" t="s">
        <v>2379</v>
      </c>
    </row>
    <row r="970" spans="1:17" s="11" customFormat="1" ht="39.950000000000003" customHeight="1" x14ac:dyDescent="0.3">
      <c r="A970" s="18" t="s">
        <v>1954</v>
      </c>
      <c r="B970" s="19" t="s">
        <v>2337</v>
      </c>
      <c r="C970" s="20"/>
      <c r="D970" s="53"/>
      <c r="E970" s="12" t="s">
        <v>2467</v>
      </c>
      <c r="F970" s="18" t="s">
        <v>1779</v>
      </c>
      <c r="G970" s="8"/>
      <c r="H970" s="8">
        <v>6</v>
      </c>
      <c r="I970" s="8"/>
      <c r="J970" s="8"/>
      <c r="K970" s="8">
        <f t="shared" si="91"/>
        <v>6</v>
      </c>
      <c r="L970" s="8"/>
      <c r="M970" s="9">
        <v>170.0025</v>
      </c>
      <c r="N970" s="9">
        <f t="shared" si="89"/>
        <v>1020.015</v>
      </c>
      <c r="O970" s="9"/>
      <c r="P970" s="9"/>
      <c r="Q970" s="10" t="s">
        <v>2379</v>
      </c>
    </row>
    <row r="971" spans="1:17" s="11" customFormat="1" ht="39.950000000000003" customHeight="1" x14ac:dyDescent="0.3">
      <c r="A971" s="18" t="s">
        <v>1955</v>
      </c>
      <c r="B971" s="23">
        <v>45623</v>
      </c>
      <c r="C971" s="8"/>
      <c r="D971" s="53" t="s">
        <v>2320</v>
      </c>
      <c r="E971" s="12" t="s">
        <v>497</v>
      </c>
      <c r="F971" s="18" t="s">
        <v>1779</v>
      </c>
      <c r="G971" s="8">
        <v>3</v>
      </c>
      <c r="H971" s="8"/>
      <c r="I971" s="8"/>
      <c r="J971" s="8"/>
      <c r="K971" s="8">
        <f>+G971+H971+-I971</f>
        <v>3</v>
      </c>
      <c r="L971" s="8"/>
      <c r="M971" s="9">
        <v>375</v>
      </c>
      <c r="N971" s="9">
        <f t="shared" si="89"/>
        <v>1125</v>
      </c>
      <c r="O971" s="9"/>
      <c r="P971" s="9"/>
      <c r="Q971" s="10" t="s">
        <v>496</v>
      </c>
    </row>
    <row r="972" spans="1:17" s="11" customFormat="1" ht="39.950000000000003" customHeight="1" x14ac:dyDescent="0.3">
      <c r="A972" s="18" t="s">
        <v>1956</v>
      </c>
      <c r="B972" s="19" t="s">
        <v>2337</v>
      </c>
      <c r="C972" s="20"/>
      <c r="D972" s="53" t="s">
        <v>2320</v>
      </c>
      <c r="E972" s="12" t="s">
        <v>2446</v>
      </c>
      <c r="F972" s="18" t="s">
        <v>1779</v>
      </c>
      <c r="G972" s="8"/>
      <c r="H972" s="8">
        <v>15</v>
      </c>
      <c r="I972" s="8"/>
      <c r="J972" s="8"/>
      <c r="K972" s="8">
        <f>+G972+H972-I972+J972</f>
        <v>15</v>
      </c>
      <c r="L972" s="8"/>
      <c r="M972" s="9">
        <v>170.0026</v>
      </c>
      <c r="N972" s="9">
        <f t="shared" si="89"/>
        <v>2550.0390000000002</v>
      </c>
      <c r="O972" s="9"/>
      <c r="P972" s="9"/>
      <c r="Q972" s="10" t="s">
        <v>2379</v>
      </c>
    </row>
    <row r="973" spans="1:17" s="11" customFormat="1" ht="39.950000000000003" customHeight="1" x14ac:dyDescent="0.3">
      <c r="A973" s="18" t="s">
        <v>1957</v>
      </c>
      <c r="B973" s="23">
        <v>45623</v>
      </c>
      <c r="C973" s="8"/>
      <c r="D973" s="53" t="s">
        <v>2320</v>
      </c>
      <c r="E973" s="12" t="s">
        <v>499</v>
      </c>
      <c r="F973" s="18" t="s">
        <v>1779</v>
      </c>
      <c r="G973" s="8">
        <v>20</v>
      </c>
      <c r="H973" s="8"/>
      <c r="I973" s="8"/>
      <c r="J973" s="8"/>
      <c r="K973" s="8">
        <f>+G973+H973+-I973</f>
        <v>20</v>
      </c>
      <c r="L973" s="8"/>
      <c r="M973" s="9">
        <v>170</v>
      </c>
      <c r="N973" s="9">
        <f t="shared" si="89"/>
        <v>3400</v>
      </c>
      <c r="O973" s="9"/>
      <c r="P973" s="9"/>
      <c r="Q973" s="10" t="s">
        <v>496</v>
      </c>
    </row>
    <row r="974" spans="1:17" s="11" customFormat="1" ht="39.950000000000003" customHeight="1" x14ac:dyDescent="0.3">
      <c r="A974" s="18" t="s">
        <v>1958</v>
      </c>
      <c r="B974" s="19" t="s">
        <v>2337</v>
      </c>
      <c r="C974" s="20"/>
      <c r="D974" s="53" t="s">
        <v>2320</v>
      </c>
      <c r="E974" s="12" t="s">
        <v>2445</v>
      </c>
      <c r="F974" s="18" t="s">
        <v>1779</v>
      </c>
      <c r="G974" s="8"/>
      <c r="H974" s="8">
        <v>15</v>
      </c>
      <c r="I974" s="8"/>
      <c r="J974" s="8"/>
      <c r="K974" s="8">
        <f>+G974+H974-I974+J974</f>
        <v>15</v>
      </c>
      <c r="L974" s="8"/>
      <c r="M974" s="9">
        <v>170.0026</v>
      </c>
      <c r="N974" s="9">
        <f t="shared" si="89"/>
        <v>2550.0390000000002</v>
      </c>
      <c r="O974" s="9"/>
      <c r="P974" s="9"/>
      <c r="Q974" s="10" t="s">
        <v>2379</v>
      </c>
    </row>
    <row r="975" spans="1:17" s="11" customFormat="1" ht="39.950000000000003" customHeight="1" x14ac:dyDescent="0.3">
      <c r="A975" s="18" t="s">
        <v>1959</v>
      </c>
      <c r="B975" s="23" t="s">
        <v>1736</v>
      </c>
      <c r="C975" s="8"/>
      <c r="D975" s="25"/>
      <c r="E975" s="12" t="s">
        <v>1741</v>
      </c>
      <c r="F975" s="18" t="s">
        <v>1779</v>
      </c>
      <c r="G975" s="8"/>
      <c r="H975" s="8">
        <v>1</v>
      </c>
      <c r="I975" s="8">
        <v>1</v>
      </c>
      <c r="J975" s="8">
        <f>+G975+H975-I975</f>
        <v>0</v>
      </c>
      <c r="K975" s="8">
        <f>+G975+H975-I975+J975</f>
        <v>0</v>
      </c>
      <c r="L975" s="8"/>
      <c r="M975" s="9"/>
      <c r="N975" s="9"/>
      <c r="O975" s="9"/>
      <c r="P975" s="9"/>
      <c r="Q975" s="10" t="s">
        <v>1887</v>
      </c>
    </row>
    <row r="976" spans="1:17" s="11" customFormat="1" ht="39.950000000000003" customHeight="1" x14ac:dyDescent="0.3">
      <c r="A976" s="18" t="s">
        <v>1960</v>
      </c>
      <c r="B976" s="23">
        <v>45623</v>
      </c>
      <c r="C976" s="8"/>
      <c r="D976" s="24" t="s">
        <v>2388</v>
      </c>
      <c r="E976" s="12" t="s">
        <v>22</v>
      </c>
      <c r="F976" s="18" t="s">
        <v>1779</v>
      </c>
      <c r="G976" s="8">
        <f>85-1-1</f>
        <v>83</v>
      </c>
      <c r="H976" s="8"/>
      <c r="I976" s="8">
        <f>2+1+1+1+1+1+1+1+1+1+1+1+1+1+1+1+1+1+1+1+1+1+1+1+2</f>
        <v>27</v>
      </c>
      <c r="J976" s="8"/>
      <c r="K976" s="8">
        <f>+G976+H976-I976</f>
        <v>56</v>
      </c>
      <c r="L976" s="8">
        <v>57</v>
      </c>
      <c r="M976" s="9">
        <v>150</v>
      </c>
      <c r="N976" s="9">
        <f t="shared" ref="N976:N993" si="92">+K976*M976</f>
        <v>8400</v>
      </c>
      <c r="O976" s="9"/>
      <c r="P976" s="9"/>
      <c r="Q976" s="10" t="s">
        <v>18</v>
      </c>
    </row>
    <row r="977" spans="1:17" s="11" customFormat="1" ht="39.950000000000003" customHeight="1" x14ac:dyDescent="0.3">
      <c r="A977" s="18" t="s">
        <v>1961</v>
      </c>
      <c r="B977" s="23">
        <v>45623</v>
      </c>
      <c r="C977" s="8"/>
      <c r="D977" s="25"/>
      <c r="E977" s="12" t="s">
        <v>471</v>
      </c>
      <c r="F977" s="18" t="s">
        <v>1779</v>
      </c>
      <c r="G977" s="8">
        <v>1</v>
      </c>
      <c r="H977" s="8"/>
      <c r="I977" s="8"/>
      <c r="J977" s="8"/>
      <c r="K977" s="8">
        <f t="shared" ref="K977:K987" si="93">+G977+H977+-I977</f>
        <v>1</v>
      </c>
      <c r="L977" s="8"/>
      <c r="M977" s="9">
        <v>1192</v>
      </c>
      <c r="N977" s="9">
        <f t="shared" si="92"/>
        <v>1192</v>
      </c>
      <c r="O977" s="9"/>
      <c r="P977" s="9"/>
      <c r="Q977" s="10" t="s">
        <v>433</v>
      </c>
    </row>
    <row r="978" spans="1:17" s="11" customFormat="1" ht="39.950000000000003" customHeight="1" x14ac:dyDescent="0.3">
      <c r="A978" s="18" t="s">
        <v>1962</v>
      </c>
      <c r="B978" s="23">
        <v>45623</v>
      </c>
      <c r="C978" s="8"/>
      <c r="D978" s="25" t="s">
        <v>2321</v>
      </c>
      <c r="E978" s="12" t="s">
        <v>1268</v>
      </c>
      <c r="F978" s="18" t="s">
        <v>1779</v>
      </c>
      <c r="G978" s="8">
        <v>6</v>
      </c>
      <c r="H978" s="8"/>
      <c r="I978" s="8"/>
      <c r="J978" s="8"/>
      <c r="K978" s="8">
        <f t="shared" si="93"/>
        <v>6</v>
      </c>
      <c r="L978" s="8">
        <v>6</v>
      </c>
      <c r="M978" s="9">
        <v>82.19</v>
      </c>
      <c r="N978" s="9">
        <f t="shared" si="92"/>
        <v>493.14</v>
      </c>
      <c r="O978" s="9"/>
      <c r="P978" s="9"/>
      <c r="Q978" s="10" t="s">
        <v>433</v>
      </c>
    </row>
    <row r="979" spans="1:17" s="11" customFormat="1" ht="39.950000000000003" customHeight="1" x14ac:dyDescent="0.3">
      <c r="A979" s="18" t="s">
        <v>1963</v>
      </c>
      <c r="B979" s="23">
        <v>45623</v>
      </c>
      <c r="C979" s="8"/>
      <c r="D979" s="25" t="s">
        <v>2385</v>
      </c>
      <c r="E979" s="12" t="s">
        <v>412</v>
      </c>
      <c r="F979" s="18" t="s">
        <v>1779</v>
      </c>
      <c r="G979" s="8">
        <v>4</v>
      </c>
      <c r="H979" s="8"/>
      <c r="I979" s="8">
        <f>1+1</f>
        <v>2</v>
      </c>
      <c r="J979" s="8"/>
      <c r="K979" s="8">
        <f t="shared" si="93"/>
        <v>2</v>
      </c>
      <c r="L979" s="8"/>
      <c r="M979" s="9">
        <v>71.650000000000006</v>
      </c>
      <c r="N979" s="9">
        <f t="shared" si="92"/>
        <v>143.30000000000001</v>
      </c>
      <c r="O979" s="9"/>
      <c r="P979" s="9"/>
      <c r="Q979" s="10" t="s">
        <v>297</v>
      </c>
    </row>
    <row r="980" spans="1:17" s="11" customFormat="1" ht="39.950000000000003" customHeight="1" x14ac:dyDescent="0.3">
      <c r="A980" s="18" t="s">
        <v>1970</v>
      </c>
      <c r="B980" s="23">
        <v>45623</v>
      </c>
      <c r="C980" s="8"/>
      <c r="D980" s="25" t="s">
        <v>2385</v>
      </c>
      <c r="E980" s="12" t="s">
        <v>413</v>
      </c>
      <c r="F980" s="18" t="s">
        <v>1779</v>
      </c>
      <c r="G980" s="8">
        <v>1</v>
      </c>
      <c r="H980" s="8"/>
      <c r="I980" s="8">
        <v>1</v>
      </c>
      <c r="J980" s="8"/>
      <c r="K980" s="8">
        <f t="shared" si="93"/>
        <v>0</v>
      </c>
      <c r="L980" s="8"/>
      <c r="M980" s="9">
        <v>71.650000000000006</v>
      </c>
      <c r="N980" s="9">
        <f t="shared" si="92"/>
        <v>0</v>
      </c>
      <c r="O980" s="9"/>
      <c r="P980" s="9"/>
      <c r="Q980" s="10" t="s">
        <v>297</v>
      </c>
    </row>
    <row r="981" spans="1:17" s="11" customFormat="1" ht="39.950000000000003" customHeight="1" x14ac:dyDescent="0.3">
      <c r="A981" s="18" t="s">
        <v>1979</v>
      </c>
      <c r="B981" s="23">
        <v>45623</v>
      </c>
      <c r="C981" s="8"/>
      <c r="D981" s="25" t="s">
        <v>2385</v>
      </c>
      <c r="E981" s="12" t="s">
        <v>414</v>
      </c>
      <c r="F981" s="18" t="s">
        <v>1779</v>
      </c>
      <c r="G981" s="8">
        <v>1</v>
      </c>
      <c r="H981" s="8"/>
      <c r="I981" s="8">
        <v>1</v>
      </c>
      <c r="J981" s="8"/>
      <c r="K981" s="8">
        <f t="shared" si="93"/>
        <v>0</v>
      </c>
      <c r="L981" s="8"/>
      <c r="M981" s="9">
        <v>35.33</v>
      </c>
      <c r="N981" s="9">
        <f t="shared" si="92"/>
        <v>0</v>
      </c>
      <c r="O981" s="9"/>
      <c r="P981" s="9"/>
      <c r="Q981" s="10" t="s">
        <v>297</v>
      </c>
    </row>
    <row r="982" spans="1:17" s="11" customFormat="1" ht="39.950000000000003" customHeight="1" x14ac:dyDescent="0.3">
      <c r="A982" s="18" t="s">
        <v>2058</v>
      </c>
      <c r="B982" s="23">
        <v>45623</v>
      </c>
      <c r="C982" s="8"/>
      <c r="D982" s="25"/>
      <c r="E982" s="12" t="s">
        <v>198</v>
      </c>
      <c r="F982" s="18" t="s">
        <v>1779</v>
      </c>
      <c r="G982" s="8">
        <v>50</v>
      </c>
      <c r="H982" s="8"/>
      <c r="I982" s="8"/>
      <c r="J982" s="8"/>
      <c r="K982" s="8">
        <f t="shared" si="93"/>
        <v>50</v>
      </c>
      <c r="L982" s="8"/>
      <c r="M982" s="9"/>
      <c r="N982" s="9">
        <f t="shared" si="92"/>
        <v>0</v>
      </c>
      <c r="O982" s="9"/>
      <c r="P982" s="9"/>
      <c r="Q982" s="10" t="s">
        <v>159</v>
      </c>
    </row>
    <row r="983" spans="1:17" s="11" customFormat="1" ht="20.25" x14ac:dyDescent="0.3">
      <c r="A983" s="18" t="s">
        <v>2433</v>
      </c>
      <c r="B983" s="23">
        <v>45623</v>
      </c>
      <c r="C983" s="8"/>
      <c r="D983" s="25" t="s">
        <v>2386</v>
      </c>
      <c r="E983" s="12" t="s">
        <v>416</v>
      </c>
      <c r="F983" s="18" t="s">
        <v>1779</v>
      </c>
      <c r="G983" s="8">
        <v>458</v>
      </c>
      <c r="H983" s="8"/>
      <c r="I983" s="8">
        <v>20</v>
      </c>
      <c r="J983" s="8"/>
      <c r="K983" s="8">
        <f t="shared" si="93"/>
        <v>438</v>
      </c>
      <c r="L983" s="8"/>
      <c r="M983" s="9">
        <v>2.5</v>
      </c>
      <c r="N983" s="9">
        <f t="shared" si="92"/>
        <v>1095</v>
      </c>
      <c r="O983" s="9"/>
      <c r="P983" s="9"/>
      <c r="Q983" s="10" t="s">
        <v>297</v>
      </c>
    </row>
    <row r="984" spans="1:17" s="11" customFormat="1" ht="20.25" x14ac:dyDescent="0.3">
      <c r="A984" s="18" t="s">
        <v>2059</v>
      </c>
      <c r="B984" s="23">
        <v>45623</v>
      </c>
      <c r="C984" s="8"/>
      <c r="D984" s="25" t="s">
        <v>2386</v>
      </c>
      <c r="E984" s="12" t="s">
        <v>417</v>
      </c>
      <c r="F984" s="18" t="s">
        <v>1779</v>
      </c>
      <c r="G984" s="8">
        <v>386</v>
      </c>
      <c r="H984" s="8"/>
      <c r="I984" s="8"/>
      <c r="J984" s="8"/>
      <c r="K984" s="8">
        <f t="shared" si="93"/>
        <v>386</v>
      </c>
      <c r="L984" s="8"/>
      <c r="M984" s="9">
        <v>2.5</v>
      </c>
      <c r="N984" s="9">
        <f t="shared" si="92"/>
        <v>965</v>
      </c>
      <c r="O984" s="9"/>
      <c r="P984" s="9"/>
      <c r="Q984" s="10" t="s">
        <v>297</v>
      </c>
    </row>
    <row r="985" spans="1:17" s="11" customFormat="1" ht="20.25" x14ac:dyDescent="0.3">
      <c r="A985" s="18" t="s">
        <v>1980</v>
      </c>
      <c r="B985" s="23">
        <v>45623</v>
      </c>
      <c r="C985" s="8"/>
      <c r="D985" s="25" t="s">
        <v>2386</v>
      </c>
      <c r="E985" s="12" t="s">
        <v>343</v>
      </c>
      <c r="F985" s="18" t="s">
        <v>1779</v>
      </c>
      <c r="G985" s="8">
        <v>196</v>
      </c>
      <c r="H985" s="8"/>
      <c r="I985" s="8">
        <f>10+10+35+10+10</f>
        <v>75</v>
      </c>
      <c r="J985" s="8"/>
      <c r="K985" s="8">
        <f t="shared" si="93"/>
        <v>121</v>
      </c>
      <c r="L985" s="8"/>
      <c r="M985" s="9">
        <v>2.5</v>
      </c>
      <c r="N985" s="9">
        <f t="shared" si="92"/>
        <v>302.5</v>
      </c>
      <c r="O985" s="9"/>
      <c r="P985" s="9"/>
      <c r="Q985" s="10" t="s">
        <v>297</v>
      </c>
    </row>
    <row r="986" spans="1:17" s="11" customFormat="1" ht="20.25" x14ac:dyDescent="0.3">
      <c r="A986" s="18" t="s">
        <v>1981</v>
      </c>
      <c r="B986" s="23">
        <v>45624</v>
      </c>
      <c r="C986" s="8"/>
      <c r="D986" s="25" t="s">
        <v>2386</v>
      </c>
      <c r="E986" s="12" t="s">
        <v>344</v>
      </c>
      <c r="F986" s="18" t="s">
        <v>1779</v>
      </c>
      <c r="G986" s="8">
        <v>62</v>
      </c>
      <c r="H986" s="8"/>
      <c r="I986" s="8">
        <f>21+10+10+10</f>
        <v>51</v>
      </c>
      <c r="J986" s="8"/>
      <c r="K986" s="8">
        <f t="shared" si="93"/>
        <v>11</v>
      </c>
      <c r="L986" s="8"/>
      <c r="M986" s="9">
        <v>6.5</v>
      </c>
      <c r="N986" s="9">
        <f t="shared" si="92"/>
        <v>71.5</v>
      </c>
      <c r="O986" s="9"/>
      <c r="P986" s="9"/>
      <c r="Q986" s="10" t="s">
        <v>297</v>
      </c>
    </row>
    <row r="987" spans="1:17" s="11" customFormat="1" ht="20.25" x14ac:dyDescent="0.3">
      <c r="A987" s="18" t="s">
        <v>1982</v>
      </c>
      <c r="B987" s="23">
        <v>45623</v>
      </c>
      <c r="C987" s="8"/>
      <c r="D987" s="25" t="s">
        <v>2386</v>
      </c>
      <c r="E987" s="12" t="s">
        <v>418</v>
      </c>
      <c r="F987" s="18" t="s">
        <v>1779</v>
      </c>
      <c r="G987" s="8">
        <v>384</v>
      </c>
      <c r="H987" s="8"/>
      <c r="I987" s="8"/>
      <c r="J987" s="8"/>
      <c r="K987" s="8">
        <f t="shared" si="93"/>
        <v>384</v>
      </c>
      <c r="L987" s="8"/>
      <c r="M987" s="9">
        <v>6.25</v>
      </c>
      <c r="N987" s="9">
        <f t="shared" si="92"/>
        <v>2400</v>
      </c>
      <c r="O987" s="9"/>
      <c r="P987" s="9"/>
      <c r="Q987" s="10" t="s">
        <v>297</v>
      </c>
    </row>
    <row r="988" spans="1:17" s="11" customFormat="1" ht="20.25" x14ac:dyDescent="0.3">
      <c r="A988" s="18" t="s">
        <v>1983</v>
      </c>
      <c r="B988" s="23">
        <v>45575</v>
      </c>
      <c r="C988" s="8"/>
      <c r="D988" s="25" t="s">
        <v>2394</v>
      </c>
      <c r="E988" s="12" t="s">
        <v>97</v>
      </c>
      <c r="F988" s="18" t="s">
        <v>1779</v>
      </c>
      <c r="G988" s="8">
        <v>6</v>
      </c>
      <c r="H988" s="8"/>
      <c r="I988" s="8"/>
      <c r="J988" s="8"/>
      <c r="K988" s="8">
        <f>+G988+H988-I988</f>
        <v>6</v>
      </c>
      <c r="L988" s="8"/>
      <c r="M988" s="9">
        <v>85</v>
      </c>
      <c r="N988" s="9">
        <f t="shared" si="92"/>
        <v>510</v>
      </c>
      <c r="O988" s="9"/>
      <c r="P988" s="9"/>
      <c r="Q988" s="10" t="s">
        <v>25</v>
      </c>
    </row>
    <row r="989" spans="1:17" s="11" customFormat="1" ht="40.5" x14ac:dyDescent="0.3">
      <c r="A989" s="18" t="s">
        <v>1984</v>
      </c>
      <c r="B989" s="19" t="s">
        <v>2381</v>
      </c>
      <c r="C989" s="20"/>
      <c r="D989" s="53" t="s">
        <v>2384</v>
      </c>
      <c r="E989" s="12" t="s">
        <v>2449</v>
      </c>
      <c r="F989" s="18" t="s">
        <v>2450</v>
      </c>
      <c r="G989" s="8"/>
      <c r="H989" s="8">
        <v>2000</v>
      </c>
      <c r="I989" s="8"/>
      <c r="J989" s="8"/>
      <c r="K989" s="8">
        <f>+G989+H989-I989+J989</f>
        <v>2000</v>
      </c>
      <c r="L989" s="8"/>
      <c r="M989" s="9">
        <v>7.08</v>
      </c>
      <c r="N989" s="9">
        <f t="shared" si="92"/>
        <v>14160</v>
      </c>
      <c r="O989" s="9"/>
      <c r="P989" s="9"/>
      <c r="Q989" s="10" t="s">
        <v>1321</v>
      </c>
    </row>
    <row r="990" spans="1:17" s="11" customFormat="1" ht="40.5" x14ac:dyDescent="0.3">
      <c r="A990" s="18" t="s">
        <v>1985</v>
      </c>
      <c r="B990" s="19" t="s">
        <v>2381</v>
      </c>
      <c r="C990" s="20"/>
      <c r="D990" s="53" t="s">
        <v>2384</v>
      </c>
      <c r="E990" s="12" t="s">
        <v>2383</v>
      </c>
      <c r="F990" s="18" t="s">
        <v>1800</v>
      </c>
      <c r="G990" s="8"/>
      <c r="H990" s="8">
        <v>120</v>
      </c>
      <c r="I990" s="8"/>
      <c r="J990" s="8"/>
      <c r="K990" s="8">
        <f>+G990+H990-I990+J990</f>
        <v>120</v>
      </c>
      <c r="L990" s="8"/>
      <c r="M990" s="9">
        <v>127.44</v>
      </c>
      <c r="N990" s="9">
        <f t="shared" si="92"/>
        <v>15292.8</v>
      </c>
      <c r="O990" s="9"/>
      <c r="P990" s="9"/>
      <c r="Q990" s="10" t="s">
        <v>1321</v>
      </c>
    </row>
    <row r="991" spans="1:17" s="11" customFormat="1" ht="20.25" x14ac:dyDescent="0.3">
      <c r="A991" s="18" t="s">
        <v>1986</v>
      </c>
      <c r="B991" s="23">
        <v>45811</v>
      </c>
      <c r="C991" s="8">
        <v>30</v>
      </c>
      <c r="D991" s="25" t="s">
        <v>2318</v>
      </c>
      <c r="E991" s="12" t="s">
        <v>2161</v>
      </c>
      <c r="F991" s="18" t="s">
        <v>1779</v>
      </c>
      <c r="G991" s="8"/>
      <c r="H991" s="8">
        <v>3</v>
      </c>
      <c r="I991" s="8"/>
      <c r="J991" s="8"/>
      <c r="K991" s="8">
        <f>+G991+H991-I991+J991</f>
        <v>3</v>
      </c>
      <c r="L991" s="8"/>
      <c r="M991" s="9">
        <v>1539</v>
      </c>
      <c r="N991" s="9">
        <f t="shared" si="92"/>
        <v>4617</v>
      </c>
      <c r="O991" s="9"/>
      <c r="P991" s="9"/>
      <c r="Q991" s="10" t="s">
        <v>1479</v>
      </c>
    </row>
    <row r="992" spans="1:17" s="11" customFormat="1" ht="40.5" x14ac:dyDescent="0.3">
      <c r="A992" s="18" t="s">
        <v>1987</v>
      </c>
      <c r="B992" s="19">
        <v>45783</v>
      </c>
      <c r="C992" s="20"/>
      <c r="D992" s="53" t="s">
        <v>2319</v>
      </c>
      <c r="E992" s="12" t="s">
        <v>2410</v>
      </c>
      <c r="F992" s="18" t="s">
        <v>1779</v>
      </c>
      <c r="G992" s="8"/>
      <c r="H992" s="8">
        <v>2</v>
      </c>
      <c r="I992" s="8"/>
      <c r="J992" s="8"/>
      <c r="K992" s="8">
        <f>+G992+H992-I992+J992</f>
        <v>2</v>
      </c>
      <c r="L992" s="8"/>
      <c r="M992" s="9">
        <v>1871.48</v>
      </c>
      <c r="N992" s="9">
        <f t="shared" si="92"/>
        <v>3742.96</v>
      </c>
      <c r="O992" s="9"/>
      <c r="P992" s="9"/>
      <c r="Q992" s="10" t="s">
        <v>159</v>
      </c>
    </row>
    <row r="993" spans="1:17" s="11" customFormat="1" ht="40.5" x14ac:dyDescent="0.3">
      <c r="A993" s="18" t="s">
        <v>1988</v>
      </c>
      <c r="B993" s="23">
        <v>45575</v>
      </c>
      <c r="C993" s="8"/>
      <c r="D993" s="25"/>
      <c r="E993" s="12" t="s">
        <v>199</v>
      </c>
      <c r="F993" s="18" t="s">
        <v>1779</v>
      </c>
      <c r="G993" s="8">
        <v>8</v>
      </c>
      <c r="H993" s="8"/>
      <c r="I993" s="8"/>
      <c r="J993" s="8"/>
      <c r="K993" s="8">
        <f>+G993+H993+-I993</f>
        <v>8</v>
      </c>
      <c r="L993" s="8"/>
      <c r="M993" s="9"/>
      <c r="N993" s="9">
        <f t="shared" si="92"/>
        <v>0</v>
      </c>
      <c r="O993" s="9"/>
      <c r="P993" s="9"/>
      <c r="Q993" s="10" t="s">
        <v>159</v>
      </c>
    </row>
    <row r="994" spans="1:17" s="11" customFormat="1" ht="40.5" x14ac:dyDescent="0.3">
      <c r="A994" s="18" t="s">
        <v>1989</v>
      </c>
      <c r="B994" s="23"/>
      <c r="C994" s="8"/>
      <c r="D994" s="25" t="s">
        <v>2322</v>
      </c>
      <c r="E994" s="12" t="s">
        <v>1677</v>
      </c>
      <c r="F994" s="18" t="s">
        <v>1780</v>
      </c>
      <c r="G994" s="8">
        <v>1</v>
      </c>
      <c r="H994" s="8"/>
      <c r="I994" s="8"/>
      <c r="J994" s="8">
        <v>0</v>
      </c>
      <c r="K994" s="8">
        <f>+G994+H994-I994+J994</f>
        <v>1</v>
      </c>
      <c r="L994" s="8"/>
      <c r="M994" s="9">
        <v>265</v>
      </c>
      <c r="N994" s="9">
        <f>+L994*M994</f>
        <v>0</v>
      </c>
      <c r="O994" s="9"/>
      <c r="P994" s="9"/>
      <c r="Q994" s="10" t="s">
        <v>1887</v>
      </c>
    </row>
    <row r="995" spans="1:17" s="11" customFormat="1" ht="40.5" x14ac:dyDescent="0.3">
      <c r="A995" s="18" t="s">
        <v>1990</v>
      </c>
      <c r="B995" s="23"/>
      <c r="C995" s="8"/>
      <c r="D995" s="25" t="s">
        <v>2322</v>
      </c>
      <c r="E995" s="12" t="s">
        <v>1678</v>
      </c>
      <c r="F995" s="18" t="s">
        <v>1780</v>
      </c>
      <c r="G995" s="8">
        <v>8</v>
      </c>
      <c r="H995" s="8"/>
      <c r="I995" s="8"/>
      <c r="J995" s="8">
        <v>0</v>
      </c>
      <c r="K995" s="8">
        <f>+G995+H995-I995+J995</f>
        <v>8</v>
      </c>
      <c r="L995" s="8"/>
      <c r="M995" s="9"/>
      <c r="N995" s="9">
        <f>+L995*M995</f>
        <v>0</v>
      </c>
      <c r="O995" s="9"/>
      <c r="P995" s="9"/>
      <c r="Q995" s="10" t="s">
        <v>1887</v>
      </c>
    </row>
    <row r="996" spans="1:17" s="11" customFormat="1" ht="40.5" x14ac:dyDescent="0.3">
      <c r="A996" s="18" t="s">
        <v>1991</v>
      </c>
      <c r="B996" s="23">
        <v>45392</v>
      </c>
      <c r="C996" s="8"/>
      <c r="D996" s="25" t="s">
        <v>2322</v>
      </c>
      <c r="E996" s="12" t="s">
        <v>1693</v>
      </c>
      <c r="F996" s="18" t="s">
        <v>1780</v>
      </c>
      <c r="G996" s="8">
        <v>10</v>
      </c>
      <c r="H996" s="8"/>
      <c r="I996" s="8"/>
      <c r="J996" s="8">
        <v>0</v>
      </c>
      <c r="K996" s="8">
        <f>+G996+H996-I996+J996</f>
        <v>10</v>
      </c>
      <c r="L996" s="8"/>
      <c r="M996" s="9">
        <v>1125</v>
      </c>
      <c r="N996" s="9">
        <v>11250</v>
      </c>
      <c r="O996" s="9"/>
      <c r="P996" s="9"/>
      <c r="Q996" s="10" t="s">
        <v>1887</v>
      </c>
    </row>
    <row r="997" spans="1:17" s="11" customFormat="1" ht="39.950000000000003" customHeight="1" x14ac:dyDescent="0.3">
      <c r="A997" s="18" t="s">
        <v>1992</v>
      </c>
      <c r="B997" s="23">
        <v>45575</v>
      </c>
      <c r="C997" s="8"/>
      <c r="D997" s="25" t="s">
        <v>2385</v>
      </c>
      <c r="E997" s="12" t="s">
        <v>419</v>
      </c>
      <c r="F997" s="18" t="s">
        <v>1779</v>
      </c>
      <c r="G997" s="8">
        <v>5</v>
      </c>
      <c r="H997" s="8"/>
      <c r="I997" s="8">
        <f>1+1</f>
        <v>2</v>
      </c>
      <c r="J997" s="8"/>
      <c r="K997" s="8">
        <f>+G997+H997+-I997</f>
        <v>3</v>
      </c>
      <c r="L997" s="8"/>
      <c r="M997" s="9">
        <v>125</v>
      </c>
      <c r="N997" s="9">
        <f>+K997*M997</f>
        <v>375</v>
      </c>
      <c r="O997" s="9"/>
      <c r="P997" s="9"/>
      <c r="Q997" s="10" t="s">
        <v>297</v>
      </c>
    </row>
    <row r="998" spans="1:17" s="11" customFormat="1" ht="39.950000000000003" customHeight="1" x14ac:dyDescent="0.3">
      <c r="A998" s="18" t="s">
        <v>1993</v>
      </c>
      <c r="B998" s="23" t="s">
        <v>1723</v>
      </c>
      <c r="C998" s="8"/>
      <c r="D998" s="24" t="s">
        <v>2389</v>
      </c>
      <c r="E998" s="12" t="s">
        <v>1725</v>
      </c>
      <c r="F998" s="18" t="s">
        <v>1779</v>
      </c>
      <c r="G998" s="8"/>
      <c r="H998" s="8">
        <v>10</v>
      </c>
      <c r="I998" s="8">
        <f>3+3+4</f>
        <v>10</v>
      </c>
      <c r="J998" s="8"/>
      <c r="K998" s="8">
        <f>+G998+H998+-I998</f>
        <v>0</v>
      </c>
      <c r="L998" s="8"/>
      <c r="M998" s="9">
        <v>52</v>
      </c>
      <c r="N998" s="9">
        <f>+K998*M998</f>
        <v>0</v>
      </c>
      <c r="O998" s="9"/>
      <c r="P998" s="9"/>
      <c r="Q998" s="10" t="s">
        <v>18</v>
      </c>
    </row>
    <row r="999" spans="1:17" s="11" customFormat="1" ht="39.950000000000003" customHeight="1" x14ac:dyDescent="0.3">
      <c r="A999" s="18" t="s">
        <v>1994</v>
      </c>
      <c r="B999" s="19">
        <v>45828</v>
      </c>
      <c r="C999" s="20"/>
      <c r="D999" s="53" t="s">
        <v>2468</v>
      </c>
      <c r="E999" s="12" t="s">
        <v>2217</v>
      </c>
      <c r="F999" s="21" t="s">
        <v>1779</v>
      </c>
      <c r="G999" s="8"/>
      <c r="H999" s="8">
        <v>10</v>
      </c>
      <c r="I999" s="8"/>
      <c r="J999" s="8"/>
      <c r="K999" s="8">
        <f>+G999+H999-I999+J999</f>
        <v>10</v>
      </c>
      <c r="L999" s="8"/>
      <c r="M999" s="9">
        <v>2565</v>
      </c>
      <c r="N999" s="9"/>
      <c r="O999" s="9"/>
      <c r="P999" s="9"/>
      <c r="Q999" s="10" t="s">
        <v>520</v>
      </c>
    </row>
    <row r="1000" spans="1:17" s="11" customFormat="1" ht="39.950000000000003" customHeight="1" x14ac:dyDescent="0.3">
      <c r="A1000" s="18" t="s">
        <v>2060</v>
      </c>
      <c r="B1000" s="23">
        <v>45575</v>
      </c>
      <c r="C1000" s="8"/>
      <c r="D1000" s="25" t="s">
        <v>2440</v>
      </c>
      <c r="E1000" s="12" t="s">
        <v>283</v>
      </c>
      <c r="F1000" s="18" t="s">
        <v>1779</v>
      </c>
      <c r="G1000" s="8">
        <v>0</v>
      </c>
      <c r="H1000" s="8"/>
      <c r="I1000" s="8"/>
      <c r="J1000" s="8"/>
      <c r="K1000" s="8">
        <f>+G1000+H1000+-I1000</f>
        <v>0</v>
      </c>
      <c r="L1000" s="8"/>
      <c r="M1000" s="9">
        <v>223.06</v>
      </c>
      <c r="N1000" s="9">
        <f t="shared" ref="N1000:N1005" si="94">+K1000*M1000</f>
        <v>0</v>
      </c>
      <c r="O1000" s="9"/>
      <c r="P1000" s="9"/>
      <c r="Q1000" s="10" t="s">
        <v>235</v>
      </c>
    </row>
    <row r="1001" spans="1:17" s="11" customFormat="1" ht="39.950000000000003" customHeight="1" x14ac:dyDescent="0.3">
      <c r="A1001" s="18" t="s">
        <v>2061</v>
      </c>
      <c r="B1001" s="23">
        <v>45575</v>
      </c>
      <c r="C1001" s="8"/>
      <c r="D1001" s="25" t="s">
        <v>2440</v>
      </c>
      <c r="E1001" s="12" t="s">
        <v>284</v>
      </c>
      <c r="F1001" s="18" t="s">
        <v>1779</v>
      </c>
      <c r="G1001" s="8">
        <v>2</v>
      </c>
      <c r="H1001" s="8"/>
      <c r="I1001" s="8">
        <f>1+1</f>
        <v>2</v>
      </c>
      <c r="J1001" s="8"/>
      <c r="K1001" s="8">
        <f>+G1001+H1001+-I1001</f>
        <v>0</v>
      </c>
      <c r="L1001" s="8"/>
      <c r="M1001" s="9">
        <v>145</v>
      </c>
      <c r="N1001" s="9">
        <f t="shared" si="94"/>
        <v>0</v>
      </c>
      <c r="O1001" s="9"/>
      <c r="P1001" s="9"/>
      <c r="Q1001" s="10" t="s">
        <v>235</v>
      </c>
    </row>
    <row r="1002" spans="1:17" s="11" customFormat="1" ht="39.950000000000003" customHeight="1" x14ac:dyDescent="0.3">
      <c r="A1002" s="18" t="s">
        <v>2062</v>
      </c>
      <c r="B1002" s="23">
        <v>45575</v>
      </c>
      <c r="C1002" s="8"/>
      <c r="D1002" s="25" t="s">
        <v>2440</v>
      </c>
      <c r="E1002" s="12" t="s">
        <v>1183</v>
      </c>
      <c r="F1002" s="18" t="s">
        <v>1779</v>
      </c>
      <c r="G1002" s="8">
        <v>1</v>
      </c>
      <c r="H1002" s="8"/>
      <c r="I1002" s="8">
        <v>1</v>
      </c>
      <c r="J1002" s="8"/>
      <c r="K1002" s="8">
        <f>+G1002+H1002+-I1002</f>
        <v>0</v>
      </c>
      <c r="L1002" s="8"/>
      <c r="M1002" s="9">
        <v>375</v>
      </c>
      <c r="N1002" s="9">
        <f t="shared" si="94"/>
        <v>0</v>
      </c>
      <c r="O1002" s="9"/>
      <c r="P1002" s="9"/>
      <c r="Q1002" s="10" t="s">
        <v>235</v>
      </c>
    </row>
    <row r="1003" spans="1:17" s="11" customFormat="1" ht="39.950000000000003" customHeight="1" x14ac:dyDescent="0.3">
      <c r="A1003" s="18" t="s">
        <v>2063</v>
      </c>
      <c r="B1003" s="23">
        <v>45575</v>
      </c>
      <c r="C1003" s="8"/>
      <c r="D1003" s="25" t="s">
        <v>2440</v>
      </c>
      <c r="E1003" s="12" t="s">
        <v>285</v>
      </c>
      <c r="F1003" s="18" t="s">
        <v>1779</v>
      </c>
      <c r="G1003" s="8">
        <v>32</v>
      </c>
      <c r="H1003" s="8"/>
      <c r="I1003" s="8">
        <f>1+2+1+1+1+2+1+1+1+1+5+1+2+2+2+3+1+1+2+1</f>
        <v>32</v>
      </c>
      <c r="J1003" s="8"/>
      <c r="K1003" s="8">
        <f>+G1003+H1003+-I1003</f>
        <v>0</v>
      </c>
      <c r="L1003" s="8"/>
      <c r="M1003" s="9">
        <v>150</v>
      </c>
      <c r="N1003" s="9">
        <f t="shared" si="94"/>
        <v>0</v>
      </c>
      <c r="O1003" s="9"/>
      <c r="P1003" s="9"/>
      <c r="Q1003" s="10" t="s">
        <v>235</v>
      </c>
    </row>
    <row r="1004" spans="1:17" s="11" customFormat="1" ht="39.950000000000003" customHeight="1" x14ac:dyDescent="0.3">
      <c r="A1004" s="18" t="s">
        <v>2064</v>
      </c>
      <c r="B1004" s="23">
        <v>45575</v>
      </c>
      <c r="C1004" s="8"/>
      <c r="D1004" s="25" t="s">
        <v>2440</v>
      </c>
      <c r="E1004" s="12" t="s">
        <v>286</v>
      </c>
      <c r="F1004" s="18" t="s">
        <v>1779</v>
      </c>
      <c r="G1004" s="8">
        <v>2</v>
      </c>
      <c r="H1004" s="8"/>
      <c r="I1004" s="8">
        <f>1+1</f>
        <v>2</v>
      </c>
      <c r="J1004" s="8"/>
      <c r="K1004" s="8">
        <f>+G1004+H1004+-I1004</f>
        <v>0</v>
      </c>
      <c r="L1004" s="8"/>
      <c r="M1004" s="9">
        <v>159</v>
      </c>
      <c r="N1004" s="9">
        <f t="shared" si="94"/>
        <v>0</v>
      </c>
      <c r="O1004" s="9"/>
      <c r="P1004" s="9"/>
      <c r="Q1004" s="10" t="s">
        <v>235</v>
      </c>
    </row>
    <row r="1005" spans="1:17" s="11" customFormat="1" ht="39.950000000000003" customHeight="1" x14ac:dyDescent="0.3">
      <c r="A1005" s="18" t="s">
        <v>2065</v>
      </c>
      <c r="B1005" s="23" t="s">
        <v>2303</v>
      </c>
      <c r="C1005" s="8"/>
      <c r="D1005" s="25" t="s">
        <v>2436</v>
      </c>
      <c r="E1005" s="12" t="s">
        <v>1679</v>
      </c>
      <c r="F1005" s="18" t="s">
        <v>1779</v>
      </c>
      <c r="G1005" s="8">
        <v>1</v>
      </c>
      <c r="H1005" s="8">
        <v>20</v>
      </c>
      <c r="I1005" s="8">
        <f>1+2</f>
        <v>3</v>
      </c>
      <c r="J1005" s="8">
        <v>0</v>
      </c>
      <c r="K1005" s="8">
        <f>+G1005+H1005-I1005+J1005</f>
        <v>18</v>
      </c>
      <c r="L1005" s="8"/>
      <c r="M1005" s="9">
        <v>112.1</v>
      </c>
      <c r="N1005" s="9">
        <f t="shared" si="94"/>
        <v>2017.8</v>
      </c>
      <c r="O1005" s="9"/>
      <c r="P1005" s="9"/>
      <c r="Q1005" s="10" t="s">
        <v>1887</v>
      </c>
    </row>
    <row r="1006" spans="1:17" s="11" customFormat="1" ht="39.950000000000003" customHeight="1" x14ac:dyDescent="0.3">
      <c r="A1006" s="18" t="s">
        <v>2066</v>
      </c>
      <c r="B1006" s="23"/>
      <c r="C1006" s="8"/>
      <c r="D1006" s="25" t="s">
        <v>2436</v>
      </c>
      <c r="E1006" s="12" t="s">
        <v>1680</v>
      </c>
      <c r="F1006" s="18" t="s">
        <v>1779</v>
      </c>
      <c r="G1006" s="8">
        <v>4</v>
      </c>
      <c r="H1006" s="8"/>
      <c r="I1006" s="8"/>
      <c r="J1006" s="8">
        <v>0</v>
      </c>
      <c r="K1006" s="8">
        <f>+G1006+H1006-I1006+J1006</f>
        <v>4</v>
      </c>
      <c r="L1006" s="8"/>
      <c r="M1006" s="9">
        <v>117</v>
      </c>
      <c r="N1006" s="9">
        <f>+L1006*M1006</f>
        <v>0</v>
      </c>
      <c r="O1006" s="9"/>
      <c r="P1006" s="9"/>
      <c r="Q1006" s="10" t="s">
        <v>1887</v>
      </c>
    </row>
    <row r="1007" spans="1:17" s="11" customFormat="1" ht="39.950000000000003" customHeight="1" x14ac:dyDescent="0.3">
      <c r="A1007" s="18" t="s">
        <v>2067</v>
      </c>
      <c r="B1007" s="23"/>
      <c r="C1007" s="8"/>
      <c r="D1007" s="25" t="s">
        <v>2436</v>
      </c>
      <c r="E1007" s="12" t="s">
        <v>1681</v>
      </c>
      <c r="F1007" s="18" t="s">
        <v>1779</v>
      </c>
      <c r="G1007" s="8">
        <v>12</v>
      </c>
      <c r="H1007" s="8"/>
      <c r="I1007" s="8"/>
      <c r="J1007" s="8">
        <v>0</v>
      </c>
      <c r="K1007" s="8">
        <f>+G1007+H1007-I1007+J1007</f>
        <v>12</v>
      </c>
      <c r="L1007" s="8"/>
      <c r="M1007" s="9"/>
      <c r="N1007" s="9">
        <f>+L1007*M1007</f>
        <v>0</v>
      </c>
      <c r="O1007" s="9"/>
      <c r="P1007" s="9"/>
      <c r="Q1007" s="10" t="s">
        <v>1887</v>
      </c>
    </row>
    <row r="1008" spans="1:17" s="11" customFormat="1" ht="39.950000000000003" customHeight="1" x14ac:dyDescent="0.3">
      <c r="A1008" s="18" t="s">
        <v>2068</v>
      </c>
      <c r="B1008" s="23"/>
      <c r="C1008" s="8"/>
      <c r="D1008" s="25" t="s">
        <v>2436</v>
      </c>
      <c r="E1008" s="12" t="s">
        <v>1682</v>
      </c>
      <c r="F1008" s="18" t="s">
        <v>1779</v>
      </c>
      <c r="G1008" s="8">
        <v>4</v>
      </c>
      <c r="H1008" s="8"/>
      <c r="I1008" s="8"/>
      <c r="J1008" s="8">
        <v>0</v>
      </c>
      <c r="K1008" s="8">
        <f>+G1008+H1008-I1008+J1008</f>
        <v>4</v>
      </c>
      <c r="L1008" s="8"/>
      <c r="M1008" s="9">
        <v>72</v>
      </c>
      <c r="N1008" s="9">
        <f>+L1008*M1008</f>
        <v>0</v>
      </c>
      <c r="O1008" s="9"/>
      <c r="P1008" s="9"/>
      <c r="Q1008" s="10" t="s">
        <v>1887</v>
      </c>
    </row>
    <row r="1009" spans="1:17" s="11" customFormat="1" ht="39.950000000000003" customHeight="1" x14ac:dyDescent="0.3">
      <c r="A1009" s="18" t="s">
        <v>2069</v>
      </c>
      <c r="B1009" s="23" t="s">
        <v>1712</v>
      </c>
      <c r="C1009" s="8"/>
      <c r="D1009" s="25" t="s">
        <v>2436</v>
      </c>
      <c r="E1009" s="12" t="s">
        <v>1713</v>
      </c>
      <c r="F1009" s="18" t="s">
        <v>1779</v>
      </c>
      <c r="G1009" s="8"/>
      <c r="H1009" s="8">
        <v>5</v>
      </c>
      <c r="I1009" s="8">
        <v>1</v>
      </c>
      <c r="J1009" s="8">
        <v>0</v>
      </c>
      <c r="K1009" s="8">
        <f>+G1009+H1009-I1009+J1009</f>
        <v>4</v>
      </c>
      <c r="L1009" s="8"/>
      <c r="M1009" s="9">
        <v>29500</v>
      </c>
      <c r="N1009" s="9">
        <f>+L1009*M1009</f>
        <v>0</v>
      </c>
      <c r="O1009" s="9"/>
      <c r="P1009" s="9"/>
      <c r="Q1009" s="10" t="s">
        <v>1887</v>
      </c>
    </row>
    <row r="1010" spans="1:17" s="11" customFormat="1" ht="39.950000000000003" customHeight="1" x14ac:dyDescent="0.3">
      <c r="A1010" s="18" t="s">
        <v>2070</v>
      </c>
      <c r="B1010" s="23">
        <v>45681</v>
      </c>
      <c r="C1010" s="8"/>
      <c r="D1010" s="25" t="s">
        <v>2436</v>
      </c>
      <c r="E1010" s="12" t="s">
        <v>1799</v>
      </c>
      <c r="F1010" s="18" t="s">
        <v>1800</v>
      </c>
      <c r="G1010" s="8"/>
      <c r="H1010" s="8"/>
      <c r="I1010" s="8"/>
      <c r="J1010" s="8">
        <v>10</v>
      </c>
      <c r="K1010" s="8">
        <f>+G1010+H1010+-I1010</f>
        <v>0</v>
      </c>
      <c r="L1010" s="8"/>
      <c r="M1010" s="9"/>
      <c r="N1010" s="9">
        <f t="shared" ref="N1010:N1018" si="95">+K1010*M1010</f>
        <v>0</v>
      </c>
      <c r="O1010" s="9"/>
      <c r="P1010" s="9">
        <f>+K1010*O1010</f>
        <v>0</v>
      </c>
      <c r="Q1010" s="10" t="s">
        <v>1798</v>
      </c>
    </row>
    <row r="1011" spans="1:17" s="11" customFormat="1" ht="39.950000000000003" customHeight="1" x14ac:dyDescent="0.3">
      <c r="A1011" s="18" t="s">
        <v>2071</v>
      </c>
      <c r="B1011" s="23">
        <v>45575</v>
      </c>
      <c r="C1011" s="8">
        <v>10</v>
      </c>
      <c r="D1011" s="25" t="s">
        <v>2434</v>
      </c>
      <c r="E1011" s="12" t="s">
        <v>229</v>
      </c>
      <c r="F1011" s="18" t="s">
        <v>1779</v>
      </c>
      <c r="G1011" s="8">
        <v>21</v>
      </c>
      <c r="H1011" s="8"/>
      <c r="I1011" s="8">
        <v>4</v>
      </c>
      <c r="J1011" s="8"/>
      <c r="K1011" s="8">
        <f>+G1011+H1011+-I1011</f>
        <v>17</v>
      </c>
      <c r="L1011" s="8"/>
      <c r="M1011" s="9">
        <v>649</v>
      </c>
      <c r="N1011" s="9">
        <f t="shared" si="95"/>
        <v>11033</v>
      </c>
      <c r="O1011" s="9"/>
      <c r="P1011" s="9"/>
      <c r="Q1011" s="10" t="s">
        <v>209</v>
      </c>
    </row>
    <row r="1012" spans="1:17" s="11" customFormat="1" ht="39.950000000000003" customHeight="1" x14ac:dyDescent="0.3">
      <c r="A1012" s="18" t="s">
        <v>2072</v>
      </c>
      <c r="B1012" s="23">
        <v>45575</v>
      </c>
      <c r="C1012" s="8">
        <v>10</v>
      </c>
      <c r="D1012" s="25" t="s">
        <v>2434</v>
      </c>
      <c r="E1012" s="12" t="s">
        <v>230</v>
      </c>
      <c r="F1012" s="18" t="s">
        <v>1779</v>
      </c>
      <c r="G1012" s="8">
        <v>26</v>
      </c>
      <c r="H1012" s="8"/>
      <c r="I1012" s="8"/>
      <c r="J1012" s="8"/>
      <c r="K1012" s="8">
        <f>+G1012+H1012+-I1012</f>
        <v>26</v>
      </c>
      <c r="L1012" s="8"/>
      <c r="M1012" s="9">
        <v>778.8</v>
      </c>
      <c r="N1012" s="9">
        <f t="shared" si="95"/>
        <v>20248.8</v>
      </c>
      <c r="O1012" s="9"/>
      <c r="P1012" s="9"/>
      <c r="Q1012" s="10" t="s">
        <v>209</v>
      </c>
    </row>
    <row r="1013" spans="1:17" s="11" customFormat="1" ht="39.950000000000003" customHeight="1" x14ac:dyDescent="0.3">
      <c r="A1013" s="18" t="s">
        <v>2073</v>
      </c>
      <c r="B1013" s="23">
        <v>45575</v>
      </c>
      <c r="C1013" s="8"/>
      <c r="D1013" s="25" t="s">
        <v>2394</v>
      </c>
      <c r="E1013" s="12" t="s">
        <v>98</v>
      </c>
      <c r="F1013" s="18" t="s">
        <v>1779</v>
      </c>
      <c r="G1013" s="8">
        <v>8</v>
      </c>
      <c r="H1013" s="8"/>
      <c r="I1013" s="8"/>
      <c r="J1013" s="8"/>
      <c r="K1013" s="8">
        <f>+G1013+H1013-I1013</f>
        <v>8</v>
      </c>
      <c r="L1013" s="8"/>
      <c r="M1013" s="9"/>
      <c r="N1013" s="9">
        <f t="shared" si="95"/>
        <v>0</v>
      </c>
      <c r="O1013" s="9"/>
      <c r="P1013" s="9"/>
      <c r="Q1013" s="10" t="s">
        <v>25</v>
      </c>
    </row>
    <row r="1014" spans="1:17" s="11" customFormat="1" ht="39.950000000000003" customHeight="1" x14ac:dyDescent="0.3">
      <c r="A1014" s="18" t="s">
        <v>2074</v>
      </c>
      <c r="B1014" s="23">
        <v>45575</v>
      </c>
      <c r="C1014" s="8"/>
      <c r="D1014" s="25" t="s">
        <v>2394</v>
      </c>
      <c r="E1014" s="12" t="s">
        <v>99</v>
      </c>
      <c r="F1014" s="18" t="s">
        <v>1779</v>
      </c>
      <c r="G1014" s="8">
        <v>10</v>
      </c>
      <c r="H1014" s="8"/>
      <c r="I1014" s="8"/>
      <c r="J1014" s="8"/>
      <c r="K1014" s="8">
        <f>+G1014+H1014-I1014</f>
        <v>10</v>
      </c>
      <c r="L1014" s="8"/>
      <c r="M1014" s="9"/>
      <c r="N1014" s="9">
        <f t="shared" si="95"/>
        <v>0</v>
      </c>
      <c r="O1014" s="9"/>
      <c r="P1014" s="9"/>
      <c r="Q1014" s="10" t="s">
        <v>25</v>
      </c>
    </row>
    <row r="1015" spans="1:17" s="11" customFormat="1" ht="39.950000000000003" customHeight="1" x14ac:dyDescent="0.3">
      <c r="A1015" s="18" t="s">
        <v>2075</v>
      </c>
      <c r="B1015" s="23">
        <v>45804</v>
      </c>
      <c r="C1015" s="8">
        <v>10</v>
      </c>
      <c r="D1015" s="25" t="s">
        <v>2409</v>
      </c>
      <c r="E1015" s="12" t="s">
        <v>2047</v>
      </c>
      <c r="F1015" s="18" t="s">
        <v>1779</v>
      </c>
      <c r="G1015" s="8"/>
      <c r="H1015" s="8">
        <v>25</v>
      </c>
      <c r="I1015" s="8"/>
      <c r="J1015" s="8"/>
      <c r="K1015" s="8">
        <f t="shared" ref="K1015:K1025" si="96">+G1015+H1015+-I1015</f>
        <v>25</v>
      </c>
      <c r="L1015" s="8"/>
      <c r="M1015" s="9">
        <v>20</v>
      </c>
      <c r="N1015" s="9">
        <f t="shared" si="95"/>
        <v>500</v>
      </c>
      <c r="O1015" s="9"/>
      <c r="P1015" s="9"/>
      <c r="Q1015" s="10" t="s">
        <v>433</v>
      </c>
    </row>
    <row r="1016" spans="1:17" s="11" customFormat="1" ht="39.950000000000003" customHeight="1" x14ac:dyDescent="0.3">
      <c r="A1016" s="18" t="s">
        <v>2076</v>
      </c>
      <c r="B1016" s="23">
        <v>45804</v>
      </c>
      <c r="C1016" s="8">
        <v>10</v>
      </c>
      <c r="D1016" s="25" t="s">
        <v>2409</v>
      </c>
      <c r="E1016" s="12" t="s">
        <v>2048</v>
      </c>
      <c r="F1016" s="18" t="s">
        <v>1779</v>
      </c>
      <c r="G1016" s="8">
        <v>5</v>
      </c>
      <c r="H1016" s="8">
        <v>25</v>
      </c>
      <c r="I1016" s="8">
        <f>2+3</f>
        <v>5</v>
      </c>
      <c r="J1016" s="8"/>
      <c r="K1016" s="8">
        <f t="shared" si="96"/>
        <v>25</v>
      </c>
      <c r="L1016" s="8"/>
      <c r="M1016" s="9">
        <v>8</v>
      </c>
      <c r="N1016" s="9">
        <f t="shared" si="95"/>
        <v>200</v>
      </c>
      <c r="O1016" s="9"/>
      <c r="P1016" s="9"/>
      <c r="Q1016" s="10" t="s">
        <v>433</v>
      </c>
    </row>
    <row r="1017" spans="1:17" s="11" customFormat="1" ht="39.950000000000003" customHeight="1" x14ac:dyDescent="0.3">
      <c r="A1017" s="18" t="s">
        <v>2077</v>
      </c>
      <c r="B1017" s="23">
        <v>45576</v>
      </c>
      <c r="C1017" s="8"/>
      <c r="D1017" s="25" t="s">
        <v>2409</v>
      </c>
      <c r="E1017" s="12" t="s">
        <v>1262</v>
      </c>
      <c r="F1017" s="18" t="s">
        <v>1779</v>
      </c>
      <c r="G1017" s="8">
        <v>14</v>
      </c>
      <c r="H1017" s="8"/>
      <c r="I1017" s="8">
        <f>1+1</f>
        <v>2</v>
      </c>
      <c r="J1017" s="8"/>
      <c r="K1017" s="8">
        <f t="shared" si="96"/>
        <v>12</v>
      </c>
      <c r="L1017" s="8"/>
      <c r="M1017" s="9">
        <v>29.35</v>
      </c>
      <c r="N1017" s="9">
        <f t="shared" si="95"/>
        <v>352.20000000000005</v>
      </c>
      <c r="O1017" s="9"/>
      <c r="P1017" s="9"/>
      <c r="Q1017" s="10" t="s">
        <v>433</v>
      </c>
    </row>
    <row r="1018" spans="1:17" s="11" customFormat="1" ht="39.950000000000003" customHeight="1" x14ac:dyDescent="0.3">
      <c r="A1018" s="18" t="s">
        <v>2078</v>
      </c>
      <c r="B1018" s="23">
        <v>45631</v>
      </c>
      <c r="C1018" s="8"/>
      <c r="D1018" s="25" t="s">
        <v>2409</v>
      </c>
      <c r="E1018" s="12" t="s">
        <v>472</v>
      </c>
      <c r="F1018" s="18" t="s">
        <v>1779</v>
      </c>
      <c r="G1018" s="8">
        <v>29</v>
      </c>
      <c r="H1018" s="8"/>
      <c r="I1018" s="8"/>
      <c r="J1018" s="8"/>
      <c r="K1018" s="8">
        <f t="shared" si="96"/>
        <v>29</v>
      </c>
      <c r="L1018" s="8"/>
      <c r="M1018" s="9">
        <v>134</v>
      </c>
      <c r="N1018" s="9">
        <f t="shared" si="95"/>
        <v>3886</v>
      </c>
      <c r="O1018" s="9"/>
      <c r="P1018" s="9"/>
      <c r="Q1018" s="10" t="s">
        <v>433</v>
      </c>
    </row>
    <row r="1019" spans="1:17" s="11" customFormat="1" ht="39.950000000000003" customHeight="1" x14ac:dyDescent="0.3">
      <c r="A1019" s="18" t="s">
        <v>2079</v>
      </c>
      <c r="B1019" s="23">
        <v>45631</v>
      </c>
      <c r="C1019" s="8">
        <v>30</v>
      </c>
      <c r="D1019" s="25" t="s">
        <v>2409</v>
      </c>
      <c r="E1019" s="10" t="s">
        <v>2521</v>
      </c>
      <c r="F1019" s="18" t="s">
        <v>1779</v>
      </c>
      <c r="G1019" s="8">
        <f>20+1</f>
        <v>21</v>
      </c>
      <c r="H1019" s="8"/>
      <c r="I1019" s="8"/>
      <c r="J1019" s="8"/>
      <c r="K1019" s="8">
        <f t="shared" si="96"/>
        <v>21</v>
      </c>
      <c r="L1019" s="8"/>
      <c r="M1019" s="9">
        <v>10.48</v>
      </c>
      <c r="N1019" s="9"/>
      <c r="O1019" s="9">
        <v>10.48</v>
      </c>
      <c r="P1019" s="9">
        <f>+K1019*O1019</f>
        <v>220.08</v>
      </c>
      <c r="Q1019" s="10" t="s">
        <v>433</v>
      </c>
    </row>
    <row r="1020" spans="1:17" s="11" customFormat="1" ht="39.950000000000003" customHeight="1" x14ac:dyDescent="0.3">
      <c r="A1020" s="18" t="s">
        <v>2080</v>
      </c>
      <c r="B1020" s="23">
        <v>45804</v>
      </c>
      <c r="C1020" s="8">
        <v>30</v>
      </c>
      <c r="D1020" s="25" t="s">
        <v>2409</v>
      </c>
      <c r="E1020" s="12" t="s">
        <v>2049</v>
      </c>
      <c r="F1020" s="18" t="s">
        <v>1779</v>
      </c>
      <c r="G1020" s="8"/>
      <c r="H1020" s="8">
        <v>25</v>
      </c>
      <c r="I1020" s="8"/>
      <c r="J1020" s="8"/>
      <c r="K1020" s="8">
        <f t="shared" si="96"/>
        <v>25</v>
      </c>
      <c r="L1020" s="8"/>
      <c r="M1020" s="9">
        <v>13</v>
      </c>
      <c r="N1020" s="9">
        <f t="shared" ref="N1020:N1051" si="97">+K1020*M1020</f>
        <v>325</v>
      </c>
      <c r="O1020" s="9"/>
      <c r="P1020" s="9"/>
      <c r="Q1020" s="10" t="s">
        <v>433</v>
      </c>
    </row>
    <row r="1021" spans="1:17" s="11" customFormat="1" ht="39.950000000000003" customHeight="1" x14ac:dyDescent="0.3">
      <c r="A1021" s="18" t="s">
        <v>2081</v>
      </c>
      <c r="B1021" s="23">
        <v>45631</v>
      </c>
      <c r="C1021" s="8">
        <v>30</v>
      </c>
      <c r="D1021" s="25" t="s">
        <v>2409</v>
      </c>
      <c r="E1021" s="12" t="s">
        <v>473</v>
      </c>
      <c r="F1021" s="18" t="s">
        <v>1779</v>
      </c>
      <c r="G1021" s="8">
        <v>1</v>
      </c>
      <c r="H1021" s="8"/>
      <c r="I1021" s="8"/>
      <c r="J1021" s="8"/>
      <c r="K1021" s="8">
        <f t="shared" si="96"/>
        <v>1</v>
      </c>
      <c r="L1021" s="8"/>
      <c r="M1021" s="9">
        <v>375</v>
      </c>
      <c r="N1021" s="9">
        <f t="shared" si="97"/>
        <v>375</v>
      </c>
      <c r="O1021" s="9"/>
      <c r="P1021" s="9"/>
      <c r="Q1021" s="10" t="s">
        <v>433</v>
      </c>
    </row>
    <row r="1022" spans="1:17" s="11" customFormat="1" ht="39.950000000000003" customHeight="1" x14ac:dyDescent="0.3">
      <c r="A1022" s="18" t="s">
        <v>2455</v>
      </c>
      <c r="B1022" s="23">
        <v>45631</v>
      </c>
      <c r="C1022" s="8"/>
      <c r="D1022" s="25" t="s">
        <v>2409</v>
      </c>
      <c r="E1022" s="12" t="s">
        <v>474</v>
      </c>
      <c r="F1022" s="18" t="s">
        <v>1779</v>
      </c>
      <c r="G1022" s="8">
        <v>1</v>
      </c>
      <c r="H1022" s="8"/>
      <c r="I1022" s="8">
        <v>1</v>
      </c>
      <c r="J1022" s="8"/>
      <c r="K1022" s="8">
        <f t="shared" si="96"/>
        <v>0</v>
      </c>
      <c r="L1022" s="8"/>
      <c r="M1022" s="9">
        <v>120</v>
      </c>
      <c r="N1022" s="9">
        <f t="shared" si="97"/>
        <v>0</v>
      </c>
      <c r="O1022" s="9"/>
      <c r="P1022" s="9"/>
      <c r="Q1022" s="10" t="s">
        <v>433</v>
      </c>
    </row>
    <row r="1023" spans="1:17" s="11" customFormat="1" ht="39.950000000000003" customHeight="1" x14ac:dyDescent="0.3">
      <c r="A1023" s="18" t="s">
        <v>2082</v>
      </c>
      <c r="B1023" s="23">
        <v>45631</v>
      </c>
      <c r="C1023" s="8"/>
      <c r="D1023" s="25" t="s">
        <v>2409</v>
      </c>
      <c r="E1023" s="12" t="s">
        <v>1265</v>
      </c>
      <c r="F1023" s="18" t="s">
        <v>1779</v>
      </c>
      <c r="G1023" s="8">
        <v>23</v>
      </c>
      <c r="H1023" s="8"/>
      <c r="I1023" s="8">
        <v>2</v>
      </c>
      <c r="J1023" s="8"/>
      <c r="K1023" s="8">
        <f t="shared" si="96"/>
        <v>21</v>
      </c>
      <c r="L1023" s="8"/>
      <c r="M1023" s="9">
        <v>18.86</v>
      </c>
      <c r="N1023" s="9">
        <f t="shared" si="97"/>
        <v>396.06</v>
      </c>
      <c r="O1023" s="9"/>
      <c r="P1023" s="9"/>
      <c r="Q1023" s="10" t="s">
        <v>433</v>
      </c>
    </row>
    <row r="1024" spans="1:17" s="11" customFormat="1" ht="39.950000000000003" customHeight="1" x14ac:dyDescent="0.3">
      <c r="A1024" s="18" t="s">
        <v>2083</v>
      </c>
      <c r="B1024" s="23">
        <v>45631</v>
      </c>
      <c r="C1024" s="8"/>
      <c r="D1024" s="25" t="s">
        <v>2409</v>
      </c>
      <c r="E1024" s="12" t="s">
        <v>1263</v>
      </c>
      <c r="F1024" s="18" t="s">
        <v>1779</v>
      </c>
      <c r="G1024" s="8">
        <v>10</v>
      </c>
      <c r="H1024" s="8"/>
      <c r="I1024" s="8">
        <v>9</v>
      </c>
      <c r="J1024" s="8"/>
      <c r="K1024" s="8">
        <f t="shared" si="96"/>
        <v>1</v>
      </c>
      <c r="L1024" s="8"/>
      <c r="M1024" s="9">
        <v>55.45</v>
      </c>
      <c r="N1024" s="9">
        <f t="shared" si="97"/>
        <v>55.45</v>
      </c>
      <c r="O1024" s="9"/>
      <c r="P1024" s="9"/>
      <c r="Q1024" s="10" t="s">
        <v>433</v>
      </c>
    </row>
    <row r="1025" spans="1:17" s="11" customFormat="1" ht="39.950000000000003" customHeight="1" x14ac:dyDescent="0.3">
      <c r="A1025" s="18" t="s">
        <v>2084</v>
      </c>
      <c r="B1025" s="23">
        <v>45631</v>
      </c>
      <c r="C1025" s="8"/>
      <c r="D1025" s="25" t="s">
        <v>2409</v>
      </c>
      <c r="E1025" s="12" t="s">
        <v>1264</v>
      </c>
      <c r="F1025" s="18" t="s">
        <v>1779</v>
      </c>
      <c r="G1025" s="8">
        <v>29</v>
      </c>
      <c r="H1025" s="8"/>
      <c r="I1025" s="8">
        <v>6</v>
      </c>
      <c r="J1025" s="8"/>
      <c r="K1025" s="8">
        <f t="shared" si="96"/>
        <v>23</v>
      </c>
      <c r="L1025" s="8"/>
      <c r="M1025" s="9">
        <v>29.35</v>
      </c>
      <c r="N1025" s="9">
        <f t="shared" si="97"/>
        <v>675.05000000000007</v>
      </c>
      <c r="O1025" s="9"/>
      <c r="P1025" s="9"/>
      <c r="Q1025" s="10" t="s">
        <v>433</v>
      </c>
    </row>
    <row r="1026" spans="1:17" s="11" customFormat="1" ht="39.950000000000003" customHeight="1" x14ac:dyDescent="0.3">
      <c r="A1026" s="18" t="s">
        <v>2085</v>
      </c>
      <c r="B1026" s="23">
        <v>45631</v>
      </c>
      <c r="C1026" s="8"/>
      <c r="D1026" s="25" t="s">
        <v>2409</v>
      </c>
      <c r="E1026" s="12" t="s">
        <v>1626</v>
      </c>
      <c r="F1026" s="18" t="s">
        <v>1779</v>
      </c>
      <c r="G1026" s="8"/>
      <c r="H1026" s="8">
        <v>4</v>
      </c>
      <c r="I1026" s="8">
        <v>2</v>
      </c>
      <c r="J1026" s="8"/>
      <c r="K1026" s="8">
        <f>+G1026+H1026-I1026+J1026</f>
        <v>2</v>
      </c>
      <c r="L1026" s="8"/>
      <c r="M1026" s="9">
        <v>466.7</v>
      </c>
      <c r="N1026" s="9">
        <f t="shared" si="97"/>
        <v>933.4</v>
      </c>
      <c r="O1026" s="9"/>
      <c r="P1026" s="9"/>
      <c r="Q1026" s="10" t="s">
        <v>433</v>
      </c>
    </row>
    <row r="1027" spans="1:17" s="11" customFormat="1" ht="39.950000000000003" customHeight="1" x14ac:dyDescent="0.3">
      <c r="A1027" s="18" t="s">
        <v>2086</v>
      </c>
      <c r="B1027" s="23">
        <v>45631</v>
      </c>
      <c r="C1027" s="8"/>
      <c r="D1027" s="25" t="s">
        <v>2385</v>
      </c>
      <c r="E1027" s="12" t="s">
        <v>1556</v>
      </c>
      <c r="F1027" s="18" t="s">
        <v>1779</v>
      </c>
      <c r="G1027" s="8">
        <v>40</v>
      </c>
      <c r="H1027" s="8"/>
      <c r="I1027" s="8">
        <f>7+5+1+3+1+2+2+1</f>
        <v>22</v>
      </c>
      <c r="J1027" s="8"/>
      <c r="K1027" s="8">
        <f>+G1027+H1027+-I1027</f>
        <v>18</v>
      </c>
      <c r="L1027" s="8"/>
      <c r="M1027" s="9">
        <v>87.32</v>
      </c>
      <c r="N1027" s="9">
        <f t="shared" si="97"/>
        <v>1571.7599999999998</v>
      </c>
      <c r="O1027" s="9"/>
      <c r="P1027" s="9"/>
      <c r="Q1027" s="10" t="s">
        <v>297</v>
      </c>
    </row>
    <row r="1028" spans="1:17" s="11" customFormat="1" ht="39.950000000000003" customHeight="1" x14ac:dyDescent="0.3">
      <c r="A1028" s="18" t="s">
        <v>2087</v>
      </c>
      <c r="B1028" s="23">
        <v>1</v>
      </c>
      <c r="C1028" s="8"/>
      <c r="D1028" s="25" t="s">
        <v>2386</v>
      </c>
      <c r="E1028" s="12" t="s">
        <v>420</v>
      </c>
      <c r="F1028" s="18" t="s">
        <v>1779</v>
      </c>
      <c r="G1028" s="8">
        <v>71</v>
      </c>
      <c r="H1028" s="8"/>
      <c r="I1028" s="8">
        <v>4</v>
      </c>
      <c r="J1028" s="8"/>
      <c r="K1028" s="8">
        <f>+G1028+H1028+-I1028</f>
        <v>67</v>
      </c>
      <c r="L1028" s="8"/>
      <c r="M1028" s="9"/>
      <c r="N1028" s="9">
        <f t="shared" si="97"/>
        <v>0</v>
      </c>
      <c r="O1028" s="9"/>
      <c r="P1028" s="9"/>
      <c r="Q1028" s="10" t="s">
        <v>297</v>
      </c>
    </row>
    <row r="1029" spans="1:17" s="11" customFormat="1" ht="39.950000000000003" customHeight="1" x14ac:dyDescent="0.3">
      <c r="A1029" s="18" t="s">
        <v>2088</v>
      </c>
      <c r="B1029" s="19" t="s">
        <v>2305</v>
      </c>
      <c r="C1029" s="20">
        <v>30</v>
      </c>
      <c r="D1029" s="25" t="s">
        <v>2394</v>
      </c>
      <c r="E1029" s="12" t="s">
        <v>2309</v>
      </c>
      <c r="F1029" s="18" t="s">
        <v>1779</v>
      </c>
      <c r="G1029" s="8"/>
      <c r="H1029" s="8">
        <v>30</v>
      </c>
      <c r="I1029" s="8"/>
      <c r="J1029" s="8"/>
      <c r="K1029" s="8">
        <f>+G1029+H1029-I1029+J1029</f>
        <v>30</v>
      </c>
      <c r="L1029" s="8"/>
      <c r="M1029" s="9">
        <v>44.84</v>
      </c>
      <c r="N1029" s="9">
        <f t="shared" si="97"/>
        <v>1345.2</v>
      </c>
      <c r="O1029" s="9"/>
      <c r="P1029" s="9"/>
      <c r="Q1029" s="10" t="s">
        <v>25</v>
      </c>
    </row>
    <row r="1030" spans="1:17" s="11" customFormat="1" ht="39.950000000000003" customHeight="1" x14ac:dyDescent="0.3">
      <c r="A1030" s="18" t="s">
        <v>2089</v>
      </c>
      <c r="B1030" s="23">
        <v>45363</v>
      </c>
      <c r="C1030" s="8"/>
      <c r="D1030" s="25" t="s">
        <v>2409</v>
      </c>
      <c r="E1030" s="12" t="s">
        <v>17</v>
      </c>
      <c r="F1030" s="18" t="s">
        <v>1779</v>
      </c>
      <c r="G1030" s="8">
        <v>46</v>
      </c>
      <c r="H1030" s="8"/>
      <c r="I1030" s="8"/>
      <c r="J1030" s="8"/>
      <c r="K1030" s="8">
        <f>+G1030+H1030-I1030</f>
        <v>46</v>
      </c>
      <c r="L1030" s="8"/>
      <c r="M1030" s="9">
        <v>5</v>
      </c>
      <c r="N1030" s="9">
        <f t="shared" si="97"/>
        <v>230</v>
      </c>
      <c r="O1030" s="9"/>
      <c r="P1030" s="9"/>
      <c r="Q1030" s="10" t="s">
        <v>6</v>
      </c>
    </row>
    <row r="1031" spans="1:17" s="11" customFormat="1" ht="39.950000000000003" customHeight="1" x14ac:dyDescent="0.3">
      <c r="A1031" s="18" t="s">
        <v>2090</v>
      </c>
      <c r="B1031" s="23">
        <v>45363</v>
      </c>
      <c r="C1031" s="8"/>
      <c r="D1031" s="25" t="s">
        <v>2409</v>
      </c>
      <c r="E1031" s="12" t="s">
        <v>475</v>
      </c>
      <c r="F1031" s="18" t="s">
        <v>1779</v>
      </c>
      <c r="G1031" s="8">
        <v>6</v>
      </c>
      <c r="H1031" s="8"/>
      <c r="I1031" s="8"/>
      <c r="J1031" s="8"/>
      <c r="K1031" s="8">
        <f>+G1031+H1031+-I1031</f>
        <v>6</v>
      </c>
      <c r="L1031" s="8"/>
      <c r="M1031" s="9">
        <v>514.15</v>
      </c>
      <c r="N1031" s="9">
        <f t="shared" si="97"/>
        <v>3084.8999999999996</v>
      </c>
      <c r="O1031" s="9"/>
      <c r="P1031" s="9"/>
      <c r="Q1031" s="10" t="s">
        <v>433</v>
      </c>
    </row>
    <row r="1032" spans="1:17" s="11" customFormat="1" ht="39.950000000000003" customHeight="1" x14ac:dyDescent="0.3">
      <c r="A1032" s="18" t="s">
        <v>2091</v>
      </c>
      <c r="B1032" s="23">
        <v>45363</v>
      </c>
      <c r="C1032" s="8"/>
      <c r="D1032" s="25" t="s">
        <v>2409</v>
      </c>
      <c r="E1032" s="12" t="s">
        <v>476</v>
      </c>
      <c r="F1032" s="18" t="s">
        <v>1779</v>
      </c>
      <c r="G1032" s="8">
        <v>5</v>
      </c>
      <c r="H1032" s="8"/>
      <c r="I1032" s="8">
        <v>1</v>
      </c>
      <c r="J1032" s="8"/>
      <c r="K1032" s="8">
        <f>+G1032+H1032+-I1032</f>
        <v>4</v>
      </c>
      <c r="L1032" s="8"/>
      <c r="M1032" s="9">
        <v>391.09</v>
      </c>
      <c r="N1032" s="9">
        <f t="shared" si="97"/>
        <v>1564.36</v>
      </c>
      <c r="O1032" s="9"/>
      <c r="P1032" s="9"/>
      <c r="Q1032" s="10" t="s">
        <v>433</v>
      </c>
    </row>
    <row r="1033" spans="1:17" s="11" customFormat="1" ht="39.950000000000003" customHeight="1" x14ac:dyDescent="0.3">
      <c r="A1033" s="18" t="s">
        <v>2092</v>
      </c>
      <c r="B1033" s="23">
        <v>45363</v>
      </c>
      <c r="C1033" s="8"/>
      <c r="D1033" s="25" t="s">
        <v>2409</v>
      </c>
      <c r="E1033" s="12" t="s">
        <v>477</v>
      </c>
      <c r="F1033" s="18" t="s">
        <v>1779</v>
      </c>
      <c r="G1033" s="8">
        <v>9</v>
      </c>
      <c r="H1033" s="8"/>
      <c r="I1033" s="8"/>
      <c r="J1033" s="8"/>
      <c r="K1033" s="8">
        <f>+G1033+H1033+-I1033</f>
        <v>9</v>
      </c>
      <c r="L1033" s="8"/>
      <c r="M1033" s="9">
        <v>514.15</v>
      </c>
      <c r="N1033" s="9">
        <f t="shared" si="97"/>
        <v>4627.3499999999995</v>
      </c>
      <c r="O1033" s="9"/>
      <c r="P1033" s="9"/>
      <c r="Q1033" s="10" t="s">
        <v>433</v>
      </c>
    </row>
    <row r="1034" spans="1:17" s="11" customFormat="1" ht="39.950000000000003" customHeight="1" x14ac:dyDescent="0.3">
      <c r="A1034" s="18" t="s">
        <v>2093</v>
      </c>
      <c r="B1034" s="23">
        <v>45363</v>
      </c>
      <c r="C1034" s="8"/>
      <c r="D1034" s="25" t="s">
        <v>2394</v>
      </c>
      <c r="E1034" s="12" t="s">
        <v>518</v>
      </c>
      <c r="F1034" s="18" t="s">
        <v>1779</v>
      </c>
      <c r="G1034" s="8">
        <v>33</v>
      </c>
      <c r="H1034" s="8"/>
      <c r="I1034" s="8"/>
      <c r="J1034" s="8"/>
      <c r="K1034" s="8">
        <f>+G1034+H1034+-I1034</f>
        <v>33</v>
      </c>
      <c r="L1034" s="8"/>
      <c r="M1034" s="9">
        <v>63.18</v>
      </c>
      <c r="N1034" s="9">
        <f t="shared" si="97"/>
        <v>2084.94</v>
      </c>
      <c r="O1034" s="9"/>
      <c r="P1034" s="9"/>
      <c r="Q1034" s="10" t="s">
        <v>500</v>
      </c>
    </row>
    <row r="1035" spans="1:17" s="11" customFormat="1" ht="39.950000000000003" customHeight="1" x14ac:dyDescent="0.3">
      <c r="A1035" s="18" t="s">
        <v>2094</v>
      </c>
      <c r="B1035" s="23">
        <v>45363</v>
      </c>
      <c r="C1035" s="8"/>
      <c r="D1035" s="25" t="s">
        <v>2394</v>
      </c>
      <c r="E1035" s="12" t="s">
        <v>100</v>
      </c>
      <c r="F1035" s="18" t="s">
        <v>1779</v>
      </c>
      <c r="G1035" s="8">
        <v>34</v>
      </c>
      <c r="H1035" s="8"/>
      <c r="I1035" s="8">
        <f>2+1</f>
        <v>3</v>
      </c>
      <c r="J1035" s="8"/>
      <c r="K1035" s="8">
        <f>+G1035+H1035-I1035</f>
        <v>31</v>
      </c>
      <c r="L1035" s="8"/>
      <c r="M1035" s="9">
        <v>75</v>
      </c>
      <c r="N1035" s="9">
        <f t="shared" si="97"/>
        <v>2325</v>
      </c>
      <c r="O1035" s="9"/>
      <c r="P1035" s="9"/>
      <c r="Q1035" s="10" t="s">
        <v>25</v>
      </c>
    </row>
    <row r="1036" spans="1:17" s="11" customFormat="1" ht="39.950000000000003" customHeight="1" x14ac:dyDescent="0.3">
      <c r="A1036" s="18" t="s">
        <v>2095</v>
      </c>
      <c r="B1036" s="23">
        <v>45636</v>
      </c>
      <c r="C1036" s="8"/>
      <c r="D1036" s="25" t="s">
        <v>2394</v>
      </c>
      <c r="E1036" s="12" t="s">
        <v>101</v>
      </c>
      <c r="F1036" s="18" t="s">
        <v>1779</v>
      </c>
      <c r="G1036" s="8">
        <v>1</v>
      </c>
      <c r="H1036" s="8"/>
      <c r="I1036" s="8">
        <v>1</v>
      </c>
      <c r="J1036" s="8"/>
      <c r="K1036" s="8">
        <f>+G1036+H1036-I1036</f>
        <v>0</v>
      </c>
      <c r="L1036" s="8"/>
      <c r="M1036" s="9">
        <v>75</v>
      </c>
      <c r="N1036" s="9">
        <f t="shared" si="97"/>
        <v>0</v>
      </c>
      <c r="O1036" s="9"/>
      <c r="P1036" s="9"/>
      <c r="Q1036" s="10" t="s">
        <v>25</v>
      </c>
    </row>
    <row r="1037" spans="1:17" s="11" customFormat="1" ht="39.950000000000003" customHeight="1" x14ac:dyDescent="0.3">
      <c r="A1037" s="18" t="s">
        <v>2096</v>
      </c>
      <c r="B1037" s="23">
        <v>45628</v>
      </c>
      <c r="C1037" s="8"/>
      <c r="D1037" s="25" t="s">
        <v>2394</v>
      </c>
      <c r="E1037" s="12" t="s">
        <v>1565</v>
      </c>
      <c r="F1037" s="18" t="s">
        <v>1779</v>
      </c>
      <c r="G1037" s="8">
        <f>5-1</f>
        <v>4</v>
      </c>
      <c r="H1037" s="8"/>
      <c r="I1037" s="8">
        <f>1+1+2</f>
        <v>4</v>
      </c>
      <c r="J1037" s="8"/>
      <c r="K1037" s="8">
        <f>+G1037+H1037-I1037</f>
        <v>0</v>
      </c>
      <c r="L1037" s="8"/>
      <c r="M1037" s="9">
        <v>335</v>
      </c>
      <c r="N1037" s="9">
        <f t="shared" si="97"/>
        <v>0</v>
      </c>
      <c r="O1037" s="9"/>
      <c r="P1037" s="9"/>
      <c r="Q1037" s="10" t="s">
        <v>25</v>
      </c>
    </row>
    <row r="1038" spans="1:17" s="11" customFormat="1" ht="39.950000000000003" customHeight="1" x14ac:dyDescent="0.3">
      <c r="A1038" s="18" t="s">
        <v>2097</v>
      </c>
      <c r="B1038" s="23">
        <v>45628</v>
      </c>
      <c r="C1038" s="8"/>
      <c r="D1038" s="25" t="s">
        <v>2385</v>
      </c>
      <c r="E1038" s="12" t="s">
        <v>421</v>
      </c>
      <c r="F1038" s="18" t="s">
        <v>1779</v>
      </c>
      <c r="G1038" s="8">
        <f>16+1</f>
        <v>17</v>
      </c>
      <c r="H1038" s="8"/>
      <c r="I1038" s="8">
        <f>1+1+1+1+1</f>
        <v>5</v>
      </c>
      <c r="J1038" s="8"/>
      <c r="K1038" s="8">
        <f>+G1038+H1038+-I1038</f>
        <v>12</v>
      </c>
      <c r="L1038" s="8"/>
      <c r="M1038" s="9">
        <v>415</v>
      </c>
      <c r="N1038" s="9">
        <f t="shared" si="97"/>
        <v>4980</v>
      </c>
      <c r="O1038" s="9"/>
      <c r="P1038" s="9"/>
      <c r="Q1038" s="10" t="s">
        <v>297</v>
      </c>
    </row>
    <row r="1039" spans="1:17" s="11" customFormat="1" ht="39.950000000000003" customHeight="1" x14ac:dyDescent="0.3">
      <c r="A1039" s="18" t="s">
        <v>2118</v>
      </c>
      <c r="B1039" s="23" t="s">
        <v>2303</v>
      </c>
      <c r="C1039" s="8"/>
      <c r="D1039" s="25" t="s">
        <v>2394</v>
      </c>
      <c r="E1039" s="12" t="s">
        <v>1770</v>
      </c>
      <c r="F1039" s="18" t="s">
        <v>1779</v>
      </c>
      <c r="G1039" s="8">
        <v>21</v>
      </c>
      <c r="H1039" s="8">
        <v>15</v>
      </c>
      <c r="I1039" s="8">
        <f>1+1+1+1+1+8+1+1+1+1+1+1+1</f>
        <v>20</v>
      </c>
      <c r="J1039" s="8"/>
      <c r="K1039" s="8">
        <f>+G1039+H1039-I1039</f>
        <v>16</v>
      </c>
      <c r="L1039" s="8"/>
      <c r="M1039" s="9">
        <v>346.15300000000002</v>
      </c>
      <c r="N1039" s="9">
        <f t="shared" si="97"/>
        <v>5538.4480000000003</v>
      </c>
      <c r="O1039" s="9"/>
      <c r="P1039" s="9"/>
      <c r="Q1039" s="10" t="s">
        <v>25</v>
      </c>
    </row>
    <row r="1040" spans="1:17" s="11" customFormat="1" ht="39.950000000000003" customHeight="1" x14ac:dyDescent="0.3">
      <c r="A1040" s="18" t="s">
        <v>2119</v>
      </c>
      <c r="B1040" s="23">
        <v>45628</v>
      </c>
      <c r="C1040" s="8"/>
      <c r="D1040" s="25" t="s">
        <v>2385</v>
      </c>
      <c r="E1040" s="12" t="s">
        <v>1580</v>
      </c>
      <c r="F1040" s="18" t="s">
        <v>1779</v>
      </c>
      <c r="G1040" s="8">
        <v>37</v>
      </c>
      <c r="H1040" s="8"/>
      <c r="I1040" s="8">
        <f>1+2+2+2+3+1+2+4+1+3+1+1</f>
        <v>23</v>
      </c>
      <c r="J1040" s="8"/>
      <c r="K1040" s="8">
        <f t="shared" ref="K1040:K1046" si="98">+G1040+H1040+-I1040</f>
        <v>14</v>
      </c>
      <c r="L1040" s="8"/>
      <c r="M1040" s="9">
        <v>32</v>
      </c>
      <c r="N1040" s="9">
        <f t="shared" si="97"/>
        <v>448</v>
      </c>
      <c r="O1040" s="9"/>
      <c r="P1040" s="9"/>
      <c r="Q1040" s="10" t="s">
        <v>297</v>
      </c>
    </row>
    <row r="1041" spans="1:17" s="11" customFormat="1" ht="39.950000000000003" customHeight="1" x14ac:dyDescent="0.3">
      <c r="A1041" s="18" t="s">
        <v>2120</v>
      </c>
      <c r="B1041" s="23">
        <v>45631</v>
      </c>
      <c r="C1041" s="8"/>
      <c r="D1041" s="25" t="s">
        <v>2409</v>
      </c>
      <c r="E1041" s="12" t="s">
        <v>478</v>
      </c>
      <c r="F1041" s="18" t="s">
        <v>1779</v>
      </c>
      <c r="G1041" s="8">
        <v>3</v>
      </c>
      <c r="H1041" s="8"/>
      <c r="I1041" s="8"/>
      <c r="J1041" s="8"/>
      <c r="K1041" s="8">
        <f t="shared" si="98"/>
        <v>3</v>
      </c>
      <c r="L1041" s="8"/>
      <c r="M1041" s="9">
        <v>99.27</v>
      </c>
      <c r="N1041" s="9">
        <f t="shared" si="97"/>
        <v>297.81</v>
      </c>
      <c r="O1041" s="9"/>
      <c r="P1041" s="9"/>
      <c r="Q1041" s="10" t="s">
        <v>433</v>
      </c>
    </row>
    <row r="1042" spans="1:17" s="11" customFormat="1" ht="39.950000000000003" customHeight="1" x14ac:dyDescent="0.3">
      <c r="A1042" s="18" t="s">
        <v>2121</v>
      </c>
      <c r="B1042" s="23">
        <v>45631</v>
      </c>
      <c r="C1042" s="8"/>
      <c r="D1042" s="25" t="s">
        <v>2409</v>
      </c>
      <c r="E1042" s="12" t="s">
        <v>479</v>
      </c>
      <c r="F1042" s="18" t="s">
        <v>1779</v>
      </c>
      <c r="G1042" s="8">
        <v>30</v>
      </c>
      <c r="H1042" s="8"/>
      <c r="I1042" s="8">
        <v>1</v>
      </c>
      <c r="J1042" s="8"/>
      <c r="K1042" s="8">
        <f t="shared" si="98"/>
        <v>29</v>
      </c>
      <c r="L1042" s="8"/>
      <c r="M1042" s="9">
        <v>20.45</v>
      </c>
      <c r="N1042" s="9">
        <f t="shared" si="97"/>
        <v>593.04999999999995</v>
      </c>
      <c r="O1042" s="9"/>
      <c r="P1042" s="9"/>
      <c r="Q1042" s="10" t="s">
        <v>433</v>
      </c>
    </row>
    <row r="1043" spans="1:17" s="11" customFormat="1" ht="39.950000000000003" customHeight="1" x14ac:dyDescent="0.3">
      <c r="A1043" s="18" t="s">
        <v>2122</v>
      </c>
      <c r="B1043" s="23">
        <v>45631</v>
      </c>
      <c r="C1043" s="8"/>
      <c r="D1043" s="25" t="s">
        <v>2409</v>
      </c>
      <c r="E1043" s="12" t="s">
        <v>480</v>
      </c>
      <c r="F1043" s="18" t="s">
        <v>1779</v>
      </c>
      <c r="G1043" s="8">
        <v>15</v>
      </c>
      <c r="H1043" s="8"/>
      <c r="I1043" s="8">
        <f>2+4+1</f>
        <v>7</v>
      </c>
      <c r="J1043" s="8"/>
      <c r="K1043" s="8">
        <f t="shared" si="98"/>
        <v>8</v>
      </c>
      <c r="L1043" s="8"/>
      <c r="M1043" s="9">
        <v>17.7</v>
      </c>
      <c r="N1043" s="9">
        <f t="shared" si="97"/>
        <v>141.6</v>
      </c>
      <c r="O1043" s="9"/>
      <c r="P1043" s="9"/>
      <c r="Q1043" s="10" t="s">
        <v>433</v>
      </c>
    </row>
    <row r="1044" spans="1:17" s="11" customFormat="1" ht="39.950000000000003" customHeight="1" x14ac:dyDescent="0.3">
      <c r="A1044" s="18" t="s">
        <v>2123</v>
      </c>
      <c r="B1044" s="23">
        <v>45631</v>
      </c>
      <c r="C1044" s="8"/>
      <c r="D1044" s="25" t="s">
        <v>2409</v>
      </c>
      <c r="E1044" s="12" t="s">
        <v>481</v>
      </c>
      <c r="F1044" s="18" t="s">
        <v>1779</v>
      </c>
      <c r="G1044" s="8">
        <v>20</v>
      </c>
      <c r="H1044" s="8"/>
      <c r="I1044" s="8"/>
      <c r="J1044" s="8"/>
      <c r="K1044" s="8">
        <f t="shared" si="98"/>
        <v>20</v>
      </c>
      <c r="L1044" s="8"/>
      <c r="M1044" s="9">
        <v>17.7</v>
      </c>
      <c r="N1044" s="9">
        <f t="shared" si="97"/>
        <v>354</v>
      </c>
      <c r="O1044" s="9"/>
      <c r="P1044" s="9"/>
      <c r="Q1044" s="10" t="s">
        <v>433</v>
      </c>
    </row>
    <row r="1045" spans="1:17" s="11" customFormat="1" ht="39.950000000000003" customHeight="1" x14ac:dyDescent="0.3">
      <c r="A1045" s="18" t="s">
        <v>2124</v>
      </c>
      <c r="B1045" s="23">
        <v>45631</v>
      </c>
      <c r="C1045" s="8"/>
      <c r="D1045" s="25" t="s">
        <v>2409</v>
      </c>
      <c r="E1045" s="12" t="s">
        <v>1625</v>
      </c>
      <c r="F1045" s="18" t="s">
        <v>1779</v>
      </c>
      <c r="G1045" s="8">
        <v>28</v>
      </c>
      <c r="H1045" s="8"/>
      <c r="I1045" s="8"/>
      <c r="J1045" s="8"/>
      <c r="K1045" s="8">
        <f t="shared" si="98"/>
        <v>28</v>
      </c>
      <c r="L1045" s="8"/>
      <c r="M1045" s="9">
        <v>17.7</v>
      </c>
      <c r="N1045" s="9">
        <f t="shared" si="97"/>
        <v>495.59999999999997</v>
      </c>
      <c r="O1045" s="9"/>
      <c r="P1045" s="9"/>
      <c r="Q1045" s="10" t="s">
        <v>433</v>
      </c>
    </row>
    <row r="1046" spans="1:17" s="11" customFormat="1" ht="39.950000000000003" customHeight="1" x14ac:dyDescent="0.3">
      <c r="A1046" s="18" t="s">
        <v>2125</v>
      </c>
      <c r="B1046" s="23">
        <v>45631</v>
      </c>
      <c r="C1046" s="8"/>
      <c r="D1046" s="25" t="s">
        <v>2409</v>
      </c>
      <c r="E1046" s="12" t="s">
        <v>482</v>
      </c>
      <c r="F1046" s="18" t="s">
        <v>1779</v>
      </c>
      <c r="G1046" s="8">
        <v>16</v>
      </c>
      <c r="H1046" s="8"/>
      <c r="I1046" s="8">
        <v>1</v>
      </c>
      <c r="J1046" s="8"/>
      <c r="K1046" s="8">
        <f t="shared" si="98"/>
        <v>15</v>
      </c>
      <c r="L1046" s="8"/>
      <c r="M1046" s="9">
        <v>17.7</v>
      </c>
      <c r="N1046" s="9">
        <f t="shared" si="97"/>
        <v>265.5</v>
      </c>
      <c r="O1046" s="9"/>
      <c r="P1046" s="9"/>
      <c r="Q1046" s="10" t="s">
        <v>433</v>
      </c>
    </row>
    <row r="1047" spans="1:17" s="11" customFormat="1" ht="39.950000000000003" customHeight="1" x14ac:dyDescent="0.3">
      <c r="A1047" s="18" t="s">
        <v>2126</v>
      </c>
      <c r="B1047" s="23">
        <v>45771</v>
      </c>
      <c r="C1047" s="8"/>
      <c r="D1047" s="25" t="s">
        <v>2385</v>
      </c>
      <c r="E1047" s="12" t="s">
        <v>2110</v>
      </c>
      <c r="F1047" s="18" t="s">
        <v>1779</v>
      </c>
      <c r="G1047" s="8"/>
      <c r="H1047" s="8">
        <v>30</v>
      </c>
      <c r="I1047" s="8">
        <v>30</v>
      </c>
      <c r="J1047" s="8"/>
      <c r="K1047" s="8">
        <f>+G1047+H1047-I1047+J1047</f>
        <v>0</v>
      </c>
      <c r="L1047" s="8"/>
      <c r="M1047" s="9">
        <v>14</v>
      </c>
      <c r="N1047" s="9">
        <f t="shared" si="97"/>
        <v>0</v>
      </c>
      <c r="O1047" s="9"/>
      <c r="P1047" s="9"/>
      <c r="Q1047" s="10" t="s">
        <v>297</v>
      </c>
    </row>
    <row r="1048" spans="1:17" s="11" customFormat="1" ht="39.950000000000003" customHeight="1" x14ac:dyDescent="0.3">
      <c r="A1048" s="18" t="s">
        <v>2127</v>
      </c>
      <c r="B1048" s="23">
        <v>45771</v>
      </c>
      <c r="C1048" s="8"/>
      <c r="D1048" s="25" t="s">
        <v>2385</v>
      </c>
      <c r="E1048" s="12" t="s">
        <v>2111</v>
      </c>
      <c r="F1048" s="18" t="s">
        <v>1779</v>
      </c>
      <c r="G1048" s="8"/>
      <c r="H1048" s="8">
        <v>30</v>
      </c>
      <c r="I1048" s="8">
        <v>30</v>
      </c>
      <c r="J1048" s="8"/>
      <c r="K1048" s="8">
        <f>+G1048+H1048-I1048+J1048</f>
        <v>0</v>
      </c>
      <c r="L1048" s="8"/>
      <c r="M1048" s="9">
        <v>14</v>
      </c>
      <c r="N1048" s="9">
        <f t="shared" si="97"/>
        <v>0</v>
      </c>
      <c r="O1048" s="9"/>
      <c r="P1048" s="9"/>
      <c r="Q1048" s="10" t="s">
        <v>297</v>
      </c>
    </row>
    <row r="1049" spans="1:17" s="11" customFormat="1" ht="39.950000000000003" customHeight="1" x14ac:dyDescent="0.3">
      <c r="A1049" s="18" t="s">
        <v>2128</v>
      </c>
      <c r="B1049" s="23">
        <v>45631</v>
      </c>
      <c r="C1049" s="8">
        <v>30</v>
      </c>
      <c r="D1049" s="25" t="s">
        <v>2321</v>
      </c>
      <c r="E1049" s="12" t="s">
        <v>200</v>
      </c>
      <c r="F1049" s="18" t="s">
        <v>1779</v>
      </c>
      <c r="G1049" s="8">
        <f>107+5-15</f>
        <v>97</v>
      </c>
      <c r="H1049" s="8"/>
      <c r="I1049" s="8">
        <f>38+19+2+14</f>
        <v>73</v>
      </c>
      <c r="J1049" s="8"/>
      <c r="K1049" s="8">
        <f>+G1049+H1049+-I1049</f>
        <v>24</v>
      </c>
      <c r="L1049" s="8"/>
      <c r="M1049" s="9">
        <v>1.28</v>
      </c>
      <c r="N1049" s="9">
        <f t="shared" si="97"/>
        <v>30.72</v>
      </c>
      <c r="O1049" s="9"/>
      <c r="P1049" s="9"/>
      <c r="Q1049" s="10" t="s">
        <v>159</v>
      </c>
    </row>
    <row r="1050" spans="1:17" s="11" customFormat="1" ht="39.950000000000003" customHeight="1" x14ac:dyDescent="0.3">
      <c r="A1050" s="18" t="s">
        <v>2129</v>
      </c>
      <c r="B1050" s="23">
        <v>45814</v>
      </c>
      <c r="C1050" s="8">
        <v>30</v>
      </c>
      <c r="D1050" s="25" t="s">
        <v>2321</v>
      </c>
      <c r="E1050" s="12" t="s">
        <v>2162</v>
      </c>
      <c r="F1050" s="18" t="s">
        <v>1779</v>
      </c>
      <c r="G1050" s="8"/>
      <c r="H1050" s="8">
        <v>250</v>
      </c>
      <c r="I1050" s="8">
        <v>30</v>
      </c>
      <c r="J1050" s="8"/>
      <c r="K1050" s="8">
        <f>+G1050+H1050-I1050+J1050</f>
        <v>220</v>
      </c>
      <c r="L1050" s="8">
        <v>250</v>
      </c>
      <c r="M1050" s="9">
        <v>1</v>
      </c>
      <c r="N1050" s="9">
        <f t="shared" si="97"/>
        <v>220</v>
      </c>
      <c r="O1050" s="9"/>
      <c r="P1050" s="9"/>
      <c r="Q1050" s="10" t="s">
        <v>1479</v>
      </c>
    </row>
    <row r="1051" spans="1:17" s="11" customFormat="1" ht="39.950000000000003" customHeight="1" x14ac:dyDescent="0.3">
      <c r="A1051" s="18" t="s">
        <v>2130</v>
      </c>
      <c r="B1051" s="23">
        <v>45814</v>
      </c>
      <c r="C1051" s="8">
        <v>30</v>
      </c>
      <c r="D1051" s="25" t="s">
        <v>2321</v>
      </c>
      <c r="E1051" s="12" t="s">
        <v>2164</v>
      </c>
      <c r="F1051" s="18" t="s">
        <v>1779</v>
      </c>
      <c r="G1051" s="8"/>
      <c r="H1051" s="8">
        <v>150</v>
      </c>
      <c r="I1051" s="8"/>
      <c r="J1051" s="8"/>
      <c r="K1051" s="8">
        <f>+G1051+H1051-I1051+J1051</f>
        <v>150</v>
      </c>
      <c r="L1051" s="8">
        <v>150</v>
      </c>
      <c r="M1051" s="9">
        <v>1</v>
      </c>
      <c r="N1051" s="9">
        <f t="shared" si="97"/>
        <v>150</v>
      </c>
      <c r="O1051" s="9"/>
      <c r="P1051" s="9"/>
      <c r="Q1051" s="10" t="s">
        <v>1479</v>
      </c>
    </row>
    <row r="1052" spans="1:17" s="11" customFormat="1" ht="39.950000000000003" customHeight="1" x14ac:dyDescent="0.3">
      <c r="A1052" s="18" t="s">
        <v>2131</v>
      </c>
      <c r="B1052" s="23">
        <v>45814</v>
      </c>
      <c r="C1052" s="8">
        <v>30</v>
      </c>
      <c r="D1052" s="25" t="s">
        <v>2321</v>
      </c>
      <c r="E1052" s="12" t="s">
        <v>2163</v>
      </c>
      <c r="F1052" s="18" t="s">
        <v>1779</v>
      </c>
      <c r="G1052" s="8"/>
      <c r="H1052" s="8">
        <v>250</v>
      </c>
      <c r="I1052" s="8"/>
      <c r="J1052" s="8"/>
      <c r="K1052" s="8">
        <f>+G1052+H1052-I1052+J1052</f>
        <v>250</v>
      </c>
      <c r="L1052" s="8">
        <v>250</v>
      </c>
      <c r="M1052" s="9">
        <v>1</v>
      </c>
      <c r="N1052" s="9">
        <f t="shared" ref="N1052:N1083" si="99">+K1052*M1052</f>
        <v>250</v>
      </c>
      <c r="O1052" s="9"/>
      <c r="P1052" s="9"/>
      <c r="Q1052" s="10" t="s">
        <v>1479</v>
      </c>
    </row>
    <row r="1053" spans="1:17" s="11" customFormat="1" ht="39.950000000000003" customHeight="1" x14ac:dyDescent="0.3">
      <c r="A1053" s="18" t="s">
        <v>2132</v>
      </c>
      <c r="B1053" s="23">
        <v>45631</v>
      </c>
      <c r="C1053" s="8">
        <v>30</v>
      </c>
      <c r="D1053" s="25" t="s">
        <v>2321</v>
      </c>
      <c r="E1053" s="12" t="s">
        <v>201</v>
      </c>
      <c r="F1053" s="18" t="s">
        <v>1779</v>
      </c>
      <c r="G1053" s="8">
        <v>178</v>
      </c>
      <c r="H1053" s="8"/>
      <c r="I1053" s="8">
        <f>10+18+36</f>
        <v>64</v>
      </c>
      <c r="J1053" s="8"/>
      <c r="K1053" s="8">
        <f>+G1053+H1053+-I1053</f>
        <v>114</v>
      </c>
      <c r="L1053" s="8"/>
      <c r="M1053" s="9">
        <v>2.17</v>
      </c>
      <c r="N1053" s="9">
        <f t="shared" si="99"/>
        <v>247.38</v>
      </c>
      <c r="O1053" s="9"/>
      <c r="P1053" s="9"/>
      <c r="Q1053" s="10" t="s">
        <v>159</v>
      </c>
    </row>
    <row r="1054" spans="1:17" s="11" customFormat="1" ht="39.950000000000003" customHeight="1" x14ac:dyDescent="0.3">
      <c r="A1054" s="18" t="s">
        <v>2133</v>
      </c>
      <c r="B1054" s="23">
        <v>45631</v>
      </c>
      <c r="C1054" s="8"/>
      <c r="D1054" s="25" t="s">
        <v>2434</v>
      </c>
      <c r="E1054" s="12" t="s">
        <v>231</v>
      </c>
      <c r="F1054" s="18" t="s">
        <v>1779</v>
      </c>
      <c r="G1054" s="8">
        <v>10</v>
      </c>
      <c r="H1054" s="8"/>
      <c r="I1054" s="8"/>
      <c r="J1054" s="8"/>
      <c r="K1054" s="8">
        <f>+G1054+H1054+-I1054</f>
        <v>10</v>
      </c>
      <c r="L1054" s="8"/>
      <c r="M1054" s="9">
        <v>1600</v>
      </c>
      <c r="N1054" s="9">
        <f t="shared" si="99"/>
        <v>16000</v>
      </c>
      <c r="O1054" s="9"/>
      <c r="P1054" s="9"/>
      <c r="Q1054" s="10" t="s">
        <v>209</v>
      </c>
    </row>
    <row r="1055" spans="1:17" s="11" customFormat="1" ht="39.950000000000003" customHeight="1" x14ac:dyDescent="0.3">
      <c r="A1055" s="18" t="s">
        <v>2134</v>
      </c>
      <c r="B1055" s="23">
        <v>45761</v>
      </c>
      <c r="C1055" s="8">
        <v>10</v>
      </c>
      <c r="D1055" s="24" t="s">
        <v>2389</v>
      </c>
      <c r="E1055" s="12" t="s">
        <v>1742</v>
      </c>
      <c r="F1055" s="18" t="s">
        <v>1779</v>
      </c>
      <c r="G1055" s="8">
        <f>4-1-1-1</f>
        <v>1</v>
      </c>
      <c r="H1055" s="8">
        <f>25+50</f>
        <v>75</v>
      </c>
      <c r="I1055" s="8">
        <f>1+4+1+2+2+1+1+2+2+1+2+3+1+3+1+2+1+1+1+5+1+1+1+2+2+1+3+1+2</f>
        <v>51</v>
      </c>
      <c r="J1055" s="8"/>
      <c r="K1055" s="8">
        <f>+G1055+H1055-I1055</f>
        <v>25</v>
      </c>
      <c r="L1055" s="8">
        <v>36</v>
      </c>
      <c r="M1055" s="9">
        <v>236</v>
      </c>
      <c r="N1055" s="9">
        <f t="shared" si="99"/>
        <v>5900</v>
      </c>
      <c r="O1055" s="9"/>
      <c r="P1055" s="9"/>
      <c r="Q1055" s="10" t="s">
        <v>18</v>
      </c>
    </row>
    <row r="1056" spans="1:17" s="11" customFormat="1" ht="39.950000000000003" customHeight="1" x14ac:dyDescent="0.3">
      <c r="A1056" s="18" t="s">
        <v>2135</v>
      </c>
      <c r="B1056" s="23">
        <v>45761</v>
      </c>
      <c r="C1056" s="8">
        <v>10</v>
      </c>
      <c r="D1056" s="24" t="s">
        <v>2389</v>
      </c>
      <c r="E1056" s="12" t="s">
        <v>1493</v>
      </c>
      <c r="F1056" s="18" t="s">
        <v>1779</v>
      </c>
      <c r="G1056" s="8">
        <f>10-1-1-1-1-1-1</f>
        <v>4</v>
      </c>
      <c r="H1056" s="8">
        <f>20+25</f>
        <v>45</v>
      </c>
      <c r="I1056" s="8">
        <f>1+1+1+1+1+1+1+1+1+2+1+1+1+1+1+2+1+1+1+1+1+1+1+1+1+1+1+3+1+1+1+2+2</f>
        <v>39</v>
      </c>
      <c r="J1056" s="8"/>
      <c r="K1056" s="8">
        <f>+G1056+H1056-I1056</f>
        <v>10</v>
      </c>
      <c r="L1056" s="8">
        <v>15</v>
      </c>
      <c r="M1056" s="9">
        <v>994.74</v>
      </c>
      <c r="N1056" s="9">
        <f t="shared" si="99"/>
        <v>9947.4</v>
      </c>
      <c r="O1056" s="9"/>
      <c r="P1056" s="9"/>
      <c r="Q1056" s="10" t="s">
        <v>18</v>
      </c>
    </row>
    <row r="1057" spans="1:17" s="11" customFormat="1" ht="39.950000000000003" customHeight="1" x14ac:dyDescent="0.3">
      <c r="A1057" s="18" t="s">
        <v>2136</v>
      </c>
      <c r="B1057" s="23">
        <v>45631</v>
      </c>
      <c r="C1057" s="8">
        <v>30</v>
      </c>
      <c r="D1057" s="25" t="s">
        <v>2327</v>
      </c>
      <c r="E1057" s="12" t="s">
        <v>493</v>
      </c>
      <c r="F1057" s="18" t="s">
        <v>1779</v>
      </c>
      <c r="G1057" s="8">
        <f>44-2-1</f>
        <v>41</v>
      </c>
      <c r="H1057" s="8"/>
      <c r="I1057" s="8">
        <f>5+1+1+1+1</f>
        <v>9</v>
      </c>
      <c r="J1057" s="8"/>
      <c r="K1057" s="8">
        <f>+G1057+H1057+-I1057</f>
        <v>32</v>
      </c>
      <c r="L1057" s="8"/>
      <c r="M1057" s="9">
        <v>35.4</v>
      </c>
      <c r="N1057" s="9">
        <f t="shared" si="99"/>
        <v>1132.8</v>
      </c>
      <c r="O1057" s="9"/>
      <c r="P1057" s="9"/>
      <c r="Q1057" s="10" t="s">
        <v>433</v>
      </c>
    </row>
    <row r="1058" spans="1:17" s="11" customFormat="1" ht="39.950000000000003" customHeight="1" x14ac:dyDescent="0.3">
      <c r="A1058" s="18" t="s">
        <v>2137</v>
      </c>
      <c r="B1058" s="23">
        <v>45631</v>
      </c>
      <c r="C1058" s="8"/>
      <c r="D1058" s="25" t="s">
        <v>2388</v>
      </c>
      <c r="E1058" s="12" t="s">
        <v>1379</v>
      </c>
      <c r="F1058" s="18" t="s">
        <v>1779</v>
      </c>
      <c r="G1058" s="8"/>
      <c r="H1058" s="8">
        <v>4</v>
      </c>
      <c r="I1058" s="8">
        <v>4</v>
      </c>
      <c r="J1058" s="8"/>
      <c r="K1058" s="8">
        <f>+G1058+H1058-I1058+J1058</f>
        <v>0</v>
      </c>
      <c r="L1058" s="8"/>
      <c r="M1058" s="9">
        <v>348.1</v>
      </c>
      <c r="N1058" s="9">
        <f t="shared" si="99"/>
        <v>0</v>
      </c>
      <c r="O1058" s="9"/>
      <c r="P1058" s="9"/>
      <c r="Q1058" s="10" t="s">
        <v>1541</v>
      </c>
    </row>
    <row r="1059" spans="1:17" s="11" customFormat="1" ht="39.950000000000003" customHeight="1" x14ac:dyDescent="0.3">
      <c r="A1059" s="18" t="s">
        <v>2138</v>
      </c>
      <c r="B1059" s="23">
        <v>45817</v>
      </c>
      <c r="C1059" s="8"/>
      <c r="D1059" s="25" t="s">
        <v>2327</v>
      </c>
      <c r="E1059" s="12" t="s">
        <v>2149</v>
      </c>
      <c r="F1059" s="18" t="s">
        <v>1779</v>
      </c>
      <c r="G1059" s="8"/>
      <c r="H1059" s="8">
        <v>15</v>
      </c>
      <c r="I1059" s="8"/>
      <c r="J1059" s="8"/>
      <c r="K1059" s="8">
        <f>+G1059+H1059-I1059+J1059</f>
        <v>15</v>
      </c>
      <c r="L1059" s="8"/>
      <c r="M1059" s="9">
        <v>767</v>
      </c>
      <c r="N1059" s="9">
        <f t="shared" si="99"/>
        <v>11505</v>
      </c>
      <c r="O1059" s="9"/>
      <c r="P1059" s="9"/>
      <c r="Q1059" s="10" t="s">
        <v>25</v>
      </c>
    </row>
    <row r="1060" spans="1:17" s="11" customFormat="1" ht="39.950000000000003" customHeight="1" x14ac:dyDescent="0.3">
      <c r="A1060" s="18" t="s">
        <v>2139</v>
      </c>
      <c r="B1060" s="23">
        <v>45631</v>
      </c>
      <c r="C1060" s="8"/>
      <c r="D1060" s="25" t="s">
        <v>2327</v>
      </c>
      <c r="E1060" s="12" t="s">
        <v>108</v>
      </c>
      <c r="F1060" s="18" t="s">
        <v>1779</v>
      </c>
      <c r="G1060" s="8">
        <v>3</v>
      </c>
      <c r="H1060" s="8"/>
      <c r="I1060" s="8">
        <v>1</v>
      </c>
      <c r="J1060" s="8"/>
      <c r="K1060" s="8">
        <f>+G1060+H1060-I1060</f>
        <v>2</v>
      </c>
      <c r="L1060" s="8"/>
      <c r="M1060" s="9"/>
      <c r="N1060" s="9">
        <f t="shared" si="99"/>
        <v>0</v>
      </c>
      <c r="O1060" s="9"/>
      <c r="P1060" s="9"/>
      <c r="Q1060" s="10" t="s">
        <v>25</v>
      </c>
    </row>
    <row r="1061" spans="1:17" s="11" customFormat="1" ht="39.950000000000003" customHeight="1" x14ac:dyDescent="0.3">
      <c r="A1061" s="18" t="s">
        <v>2140</v>
      </c>
      <c r="B1061" s="23">
        <v>45631</v>
      </c>
      <c r="C1061" s="8"/>
      <c r="D1061" s="24" t="s">
        <v>2387</v>
      </c>
      <c r="E1061" s="12" t="s">
        <v>23</v>
      </c>
      <c r="F1061" s="18" t="s">
        <v>1779</v>
      </c>
      <c r="G1061" s="8">
        <v>8</v>
      </c>
      <c r="H1061" s="8"/>
      <c r="I1061" s="8">
        <f>1+3+1+2+1</f>
        <v>8</v>
      </c>
      <c r="J1061" s="8"/>
      <c r="K1061" s="8">
        <f>+G1061+H1061-I1061</f>
        <v>0</v>
      </c>
      <c r="L1061" s="8"/>
      <c r="M1061" s="9">
        <v>44</v>
      </c>
      <c r="N1061" s="9">
        <f t="shared" si="99"/>
        <v>0</v>
      </c>
      <c r="O1061" s="9"/>
      <c r="P1061" s="9"/>
      <c r="Q1061" s="10" t="s">
        <v>18</v>
      </c>
    </row>
    <row r="1062" spans="1:17" s="11" customFormat="1" ht="40.5" x14ac:dyDescent="0.3">
      <c r="A1062" s="18" t="s">
        <v>2141</v>
      </c>
      <c r="B1062" s="23">
        <v>45631</v>
      </c>
      <c r="C1062" s="8"/>
      <c r="D1062" s="24" t="s">
        <v>2387</v>
      </c>
      <c r="E1062" s="12" t="s">
        <v>1220</v>
      </c>
      <c r="F1062" s="18" t="s">
        <v>1779</v>
      </c>
      <c r="G1062" s="8">
        <v>9</v>
      </c>
      <c r="H1062" s="8"/>
      <c r="I1062" s="8">
        <f>1+1+2+2+1+2</f>
        <v>9</v>
      </c>
      <c r="J1062" s="8"/>
      <c r="K1062" s="8">
        <f>+G1062+H1062-I1062</f>
        <v>0</v>
      </c>
      <c r="L1062" s="8"/>
      <c r="M1062" s="9">
        <v>44</v>
      </c>
      <c r="N1062" s="9">
        <f t="shared" si="99"/>
        <v>0</v>
      </c>
      <c r="O1062" s="9"/>
      <c r="P1062" s="9"/>
      <c r="Q1062" s="10" t="s">
        <v>18</v>
      </c>
    </row>
    <row r="1063" spans="1:17" s="11" customFormat="1" ht="20.25" x14ac:dyDescent="0.3">
      <c r="A1063" s="18" t="s">
        <v>2142</v>
      </c>
      <c r="B1063" s="23">
        <v>45631</v>
      </c>
      <c r="C1063" s="8"/>
      <c r="D1063" s="25" t="s">
        <v>2394</v>
      </c>
      <c r="E1063" s="12" t="s">
        <v>492</v>
      </c>
      <c r="F1063" s="18" t="s">
        <v>1779</v>
      </c>
      <c r="G1063" s="8">
        <v>20</v>
      </c>
      <c r="H1063" s="8"/>
      <c r="I1063" s="8"/>
      <c r="J1063" s="8"/>
      <c r="K1063" s="8">
        <f>+G1063+H1063+-I1063</f>
        <v>20</v>
      </c>
      <c r="L1063" s="8"/>
      <c r="M1063" s="9">
        <v>127</v>
      </c>
      <c r="N1063" s="9">
        <f t="shared" si="99"/>
        <v>2540</v>
      </c>
      <c r="O1063" s="9"/>
      <c r="P1063" s="9"/>
      <c r="Q1063" s="10" t="s">
        <v>433</v>
      </c>
    </row>
    <row r="1064" spans="1:17" s="11" customFormat="1" ht="20.25" x14ac:dyDescent="0.3">
      <c r="A1064" s="18" t="s">
        <v>2143</v>
      </c>
      <c r="B1064" s="23">
        <v>45631</v>
      </c>
      <c r="C1064" s="8"/>
      <c r="D1064" s="25" t="s">
        <v>2394</v>
      </c>
      <c r="E1064" s="12" t="s">
        <v>1645</v>
      </c>
      <c r="F1064" s="18" t="s">
        <v>1779</v>
      </c>
      <c r="G1064" s="8">
        <v>13</v>
      </c>
      <c r="H1064" s="8"/>
      <c r="I1064" s="8">
        <f>10+3+6</f>
        <v>19</v>
      </c>
      <c r="J1064" s="8"/>
      <c r="K1064" s="8">
        <f>+G1064+H1064-I1064</f>
        <v>-6</v>
      </c>
      <c r="L1064" s="8"/>
      <c r="M1064" s="9">
        <v>234</v>
      </c>
      <c r="N1064" s="9">
        <f t="shared" si="99"/>
        <v>-1404</v>
      </c>
      <c r="O1064" s="9"/>
      <c r="P1064" s="9"/>
      <c r="Q1064" s="10" t="s">
        <v>25</v>
      </c>
    </row>
    <row r="1065" spans="1:17" s="11" customFormat="1" ht="20.25" x14ac:dyDescent="0.3">
      <c r="A1065" s="18" t="s">
        <v>2144</v>
      </c>
      <c r="B1065" s="23">
        <v>45631</v>
      </c>
      <c r="C1065" s="8"/>
      <c r="D1065" s="25" t="s">
        <v>2326</v>
      </c>
      <c r="E1065" s="12" t="s">
        <v>1178</v>
      </c>
      <c r="F1065" s="18" t="s">
        <v>1779</v>
      </c>
      <c r="G1065" s="8">
        <v>0</v>
      </c>
      <c r="H1065" s="8">
        <v>17</v>
      </c>
      <c r="I1065" s="8">
        <f>1+1+1+1+2+1+1+1+1</f>
        <v>10</v>
      </c>
      <c r="J1065" s="8"/>
      <c r="K1065" s="8">
        <f>+G1065+H1065-I1065</f>
        <v>7</v>
      </c>
      <c r="L1065" s="8"/>
      <c r="M1065" s="9">
        <v>489.77</v>
      </c>
      <c r="N1065" s="9">
        <f t="shared" si="99"/>
        <v>3428.39</v>
      </c>
      <c r="O1065" s="9"/>
      <c r="P1065" s="9"/>
      <c r="Q1065" s="10" t="s">
        <v>1191</v>
      </c>
    </row>
    <row r="1066" spans="1:17" s="11" customFormat="1" ht="40.5" x14ac:dyDescent="0.3">
      <c r="A1066" s="18" t="s">
        <v>2145</v>
      </c>
      <c r="B1066" s="23">
        <v>45631</v>
      </c>
      <c r="C1066" s="8"/>
      <c r="D1066" s="25" t="s">
        <v>2439</v>
      </c>
      <c r="E1066" s="12" t="s">
        <v>512</v>
      </c>
      <c r="F1066" s="18" t="s">
        <v>1779</v>
      </c>
      <c r="G1066" s="8">
        <v>1</v>
      </c>
      <c r="H1066" s="8"/>
      <c r="I1066" s="8"/>
      <c r="J1066" s="8"/>
      <c r="K1066" s="8">
        <f>+G1066+H1066+-I1066</f>
        <v>1</v>
      </c>
      <c r="L1066" s="8"/>
      <c r="M1066" s="9">
        <v>8720</v>
      </c>
      <c r="N1066" s="9">
        <f t="shared" si="99"/>
        <v>8720</v>
      </c>
      <c r="O1066" s="9"/>
      <c r="P1066" s="9"/>
      <c r="Q1066" s="10" t="s">
        <v>500</v>
      </c>
    </row>
    <row r="1067" spans="1:17" s="11" customFormat="1" ht="40.5" x14ac:dyDescent="0.3">
      <c r="A1067" s="18" t="s">
        <v>2146</v>
      </c>
      <c r="B1067" s="23">
        <v>45638</v>
      </c>
      <c r="C1067" s="8"/>
      <c r="D1067" s="25" t="s">
        <v>2439</v>
      </c>
      <c r="E1067" s="12" t="s">
        <v>508</v>
      </c>
      <c r="F1067" s="18" t="s">
        <v>1779</v>
      </c>
      <c r="G1067" s="8">
        <v>2</v>
      </c>
      <c r="H1067" s="8"/>
      <c r="I1067" s="8"/>
      <c r="J1067" s="8"/>
      <c r="K1067" s="8">
        <f>+G1067+H1067+-I1067</f>
        <v>2</v>
      </c>
      <c r="L1067" s="8"/>
      <c r="M1067" s="9">
        <v>8720</v>
      </c>
      <c r="N1067" s="9">
        <f t="shared" si="99"/>
        <v>17440</v>
      </c>
      <c r="O1067" s="9"/>
      <c r="P1067" s="9"/>
      <c r="Q1067" s="10" t="s">
        <v>500</v>
      </c>
    </row>
    <row r="1068" spans="1:17" s="11" customFormat="1" ht="40.5" x14ac:dyDescent="0.3">
      <c r="A1068" s="18" t="s">
        <v>2147</v>
      </c>
      <c r="B1068" s="23">
        <v>45638</v>
      </c>
      <c r="C1068" s="8"/>
      <c r="D1068" s="25" t="s">
        <v>2439</v>
      </c>
      <c r="E1068" s="12" t="s">
        <v>510</v>
      </c>
      <c r="F1068" s="18" t="s">
        <v>1779</v>
      </c>
      <c r="G1068" s="8">
        <v>7</v>
      </c>
      <c r="H1068" s="8"/>
      <c r="I1068" s="8"/>
      <c r="J1068" s="8"/>
      <c r="K1068" s="8">
        <f>+G1068+H1068+-I1068</f>
        <v>7</v>
      </c>
      <c r="L1068" s="8"/>
      <c r="M1068" s="9">
        <v>8720</v>
      </c>
      <c r="N1068" s="9">
        <f t="shared" si="99"/>
        <v>61040</v>
      </c>
      <c r="O1068" s="9"/>
      <c r="P1068" s="9"/>
      <c r="Q1068" s="10" t="s">
        <v>500</v>
      </c>
    </row>
    <row r="1069" spans="1:17" s="11" customFormat="1" ht="20.25" x14ac:dyDescent="0.3">
      <c r="A1069" s="18" t="s">
        <v>2148</v>
      </c>
      <c r="B1069" s="23">
        <v>45761</v>
      </c>
      <c r="C1069" s="8"/>
      <c r="D1069" s="25"/>
      <c r="E1069" s="12" t="s">
        <v>2112</v>
      </c>
      <c r="F1069" s="18" t="s">
        <v>1780</v>
      </c>
      <c r="G1069" s="8"/>
      <c r="H1069" s="8">
        <v>1</v>
      </c>
      <c r="I1069" s="8">
        <v>1</v>
      </c>
      <c r="J1069" s="8"/>
      <c r="K1069" s="8">
        <f>+G1069+H1069-I1069+J1069</f>
        <v>0</v>
      </c>
      <c r="L1069" s="8"/>
      <c r="M1069" s="9">
        <v>650</v>
      </c>
      <c r="N1069" s="9">
        <f t="shared" si="99"/>
        <v>0</v>
      </c>
      <c r="O1069" s="9"/>
      <c r="P1069" s="9"/>
      <c r="Q1069" s="10" t="s">
        <v>1479</v>
      </c>
    </row>
    <row r="1070" spans="1:17" s="11" customFormat="1" ht="40.5" x14ac:dyDescent="0.3">
      <c r="A1070" s="18" t="s">
        <v>2169</v>
      </c>
      <c r="B1070" s="23">
        <v>45631</v>
      </c>
      <c r="C1070" s="8"/>
      <c r="D1070" s="25" t="s">
        <v>2321</v>
      </c>
      <c r="E1070" s="12" t="s">
        <v>2190</v>
      </c>
      <c r="F1070" s="18" t="s">
        <v>1779</v>
      </c>
      <c r="G1070" s="8">
        <v>200</v>
      </c>
      <c r="H1070" s="8"/>
      <c r="I1070" s="8">
        <f>100+100</f>
        <v>200</v>
      </c>
      <c r="J1070" s="8"/>
      <c r="K1070" s="8">
        <f>+G1070+H1070+-I1070</f>
        <v>0</v>
      </c>
      <c r="L1070" s="8"/>
      <c r="M1070" s="9">
        <v>0.83</v>
      </c>
      <c r="N1070" s="9">
        <f t="shared" si="99"/>
        <v>0</v>
      </c>
      <c r="O1070" s="9"/>
      <c r="P1070" s="9"/>
      <c r="Q1070" s="10" t="s">
        <v>159</v>
      </c>
    </row>
    <row r="1071" spans="1:17" s="11" customFormat="1" ht="40.5" x14ac:dyDescent="0.3">
      <c r="A1071" s="18" t="s">
        <v>2170</v>
      </c>
      <c r="B1071" s="19">
        <v>45783</v>
      </c>
      <c r="C1071" s="20">
        <v>30</v>
      </c>
      <c r="D1071" s="53" t="s">
        <v>2399</v>
      </c>
      <c r="E1071" s="12" t="s">
        <v>2401</v>
      </c>
      <c r="F1071" s="21" t="s">
        <v>1779</v>
      </c>
      <c r="G1071" s="8"/>
      <c r="H1071" s="8">
        <v>5</v>
      </c>
      <c r="I1071" s="8"/>
      <c r="J1071" s="8"/>
      <c r="K1071" s="8">
        <v>5</v>
      </c>
      <c r="L1071" s="8"/>
      <c r="M1071" s="9">
        <v>66.08</v>
      </c>
      <c r="N1071" s="9">
        <f t="shared" si="99"/>
        <v>330.4</v>
      </c>
      <c r="O1071" s="9"/>
      <c r="P1071" s="9"/>
      <c r="Q1071" s="10" t="s">
        <v>159</v>
      </c>
    </row>
    <row r="1072" spans="1:17" s="11" customFormat="1" ht="40.5" x14ac:dyDescent="0.3">
      <c r="A1072" s="18" t="s">
        <v>2171</v>
      </c>
      <c r="B1072" s="19">
        <v>45783</v>
      </c>
      <c r="C1072" s="20">
        <v>30</v>
      </c>
      <c r="D1072" s="53" t="s">
        <v>2399</v>
      </c>
      <c r="E1072" s="12" t="s">
        <v>2400</v>
      </c>
      <c r="F1072" s="21" t="s">
        <v>1779</v>
      </c>
      <c r="G1072" s="8"/>
      <c r="H1072" s="8">
        <v>5</v>
      </c>
      <c r="I1072" s="8"/>
      <c r="J1072" s="8"/>
      <c r="K1072" s="8">
        <v>5</v>
      </c>
      <c r="L1072" s="8"/>
      <c r="M1072" s="9">
        <v>89.68</v>
      </c>
      <c r="N1072" s="9">
        <f t="shared" si="99"/>
        <v>448.40000000000003</v>
      </c>
      <c r="O1072" s="9"/>
      <c r="P1072" s="9"/>
      <c r="Q1072" s="10" t="s">
        <v>159</v>
      </c>
    </row>
    <row r="1073" spans="1:17" s="11" customFormat="1" ht="40.5" x14ac:dyDescent="0.3">
      <c r="A1073" s="18" t="s">
        <v>2172</v>
      </c>
      <c r="B1073" s="19">
        <v>45814</v>
      </c>
      <c r="C1073" s="20">
        <v>30</v>
      </c>
      <c r="D1073" s="25" t="s">
        <v>2321</v>
      </c>
      <c r="E1073" s="12" t="s">
        <v>2198</v>
      </c>
      <c r="F1073" s="18" t="s">
        <v>1889</v>
      </c>
      <c r="G1073" s="8"/>
      <c r="H1073" s="8">
        <v>20</v>
      </c>
      <c r="I1073" s="8">
        <v>1</v>
      </c>
      <c r="J1073" s="8"/>
      <c r="K1073" s="8">
        <f>+G1073+H1073-I1073+J1073</f>
        <v>19</v>
      </c>
      <c r="L1073" s="8"/>
      <c r="M1073" s="9">
        <v>245.44</v>
      </c>
      <c r="N1073" s="9">
        <f t="shared" si="99"/>
        <v>4663.3599999999997</v>
      </c>
      <c r="O1073" s="9"/>
      <c r="P1073" s="9"/>
      <c r="Q1073" s="10"/>
    </row>
    <row r="1074" spans="1:17" s="11" customFormat="1" ht="40.5" x14ac:dyDescent="0.3">
      <c r="A1074" s="18" t="s">
        <v>2179</v>
      </c>
      <c r="B1074" s="23">
        <v>45967</v>
      </c>
      <c r="C1074" s="8">
        <v>30</v>
      </c>
      <c r="D1074" s="25" t="s">
        <v>2321</v>
      </c>
      <c r="E1074" s="12" t="s">
        <v>2191</v>
      </c>
      <c r="F1074" s="18" t="s">
        <v>1807</v>
      </c>
      <c r="G1074" s="8"/>
      <c r="H1074" s="8">
        <f>1500+500</f>
        <v>2000</v>
      </c>
      <c r="I1074" s="8"/>
      <c r="J1074" s="8"/>
      <c r="K1074" s="8">
        <f>+G1074+H1074+-I1074</f>
        <v>2000</v>
      </c>
      <c r="L1074" s="8"/>
      <c r="M1074" s="9">
        <v>2</v>
      </c>
      <c r="N1074" s="9">
        <f t="shared" si="99"/>
        <v>4000</v>
      </c>
      <c r="O1074" s="9"/>
      <c r="P1074" s="9"/>
      <c r="Q1074" s="10" t="s">
        <v>159</v>
      </c>
    </row>
    <row r="1075" spans="1:17" s="11" customFormat="1" ht="40.5" x14ac:dyDescent="0.3">
      <c r="A1075" s="18" t="s">
        <v>2180</v>
      </c>
      <c r="B1075" s="23" t="s">
        <v>113</v>
      </c>
      <c r="C1075" s="8"/>
      <c r="D1075" s="25" t="s">
        <v>2321</v>
      </c>
      <c r="E1075" s="12" t="s">
        <v>2186</v>
      </c>
      <c r="F1075" s="18" t="s">
        <v>1779</v>
      </c>
      <c r="G1075" s="8">
        <v>100</v>
      </c>
      <c r="H1075" s="8"/>
      <c r="I1075" s="8">
        <v>100</v>
      </c>
      <c r="J1075" s="8"/>
      <c r="K1075" s="8">
        <f>+G1075+H1075+-I1075</f>
        <v>0</v>
      </c>
      <c r="L1075" s="8"/>
      <c r="M1075" s="9">
        <v>0.83</v>
      </c>
      <c r="N1075" s="9">
        <f t="shared" si="99"/>
        <v>0</v>
      </c>
      <c r="O1075" s="9"/>
      <c r="P1075" s="9"/>
      <c r="Q1075" s="10" t="s">
        <v>159</v>
      </c>
    </row>
    <row r="1076" spans="1:17" s="11" customFormat="1" ht="40.5" x14ac:dyDescent="0.3">
      <c r="A1076" s="18" t="s">
        <v>2181</v>
      </c>
      <c r="B1076" s="23">
        <v>45414</v>
      </c>
      <c r="C1076" s="8"/>
      <c r="D1076" s="25" t="s">
        <v>2321</v>
      </c>
      <c r="E1076" s="12" t="s">
        <v>2187</v>
      </c>
      <c r="F1076" s="18" t="s">
        <v>1779</v>
      </c>
      <c r="G1076" s="8">
        <v>300</v>
      </c>
      <c r="H1076" s="8"/>
      <c r="I1076" s="8">
        <f>100+200</f>
        <v>300</v>
      </c>
      <c r="J1076" s="8"/>
      <c r="K1076" s="8">
        <f>+G1076+H1076+-I1076</f>
        <v>0</v>
      </c>
      <c r="L1076" s="8"/>
      <c r="M1076" s="9">
        <v>1.71</v>
      </c>
      <c r="N1076" s="9">
        <f t="shared" si="99"/>
        <v>0</v>
      </c>
      <c r="O1076" s="9"/>
      <c r="P1076" s="9"/>
      <c r="Q1076" s="10" t="s">
        <v>159</v>
      </c>
    </row>
    <row r="1077" spans="1:17" s="11" customFormat="1" ht="40.5" x14ac:dyDescent="0.3">
      <c r="A1077" s="18" t="s">
        <v>2182</v>
      </c>
      <c r="B1077" s="19">
        <v>45783</v>
      </c>
      <c r="C1077" s="20">
        <v>30</v>
      </c>
      <c r="D1077" s="53" t="s">
        <v>2399</v>
      </c>
      <c r="E1077" s="12" t="s">
        <v>2402</v>
      </c>
      <c r="F1077" s="21" t="s">
        <v>1779</v>
      </c>
      <c r="G1077" s="8"/>
      <c r="H1077" s="8">
        <v>5</v>
      </c>
      <c r="I1077" s="8"/>
      <c r="J1077" s="8"/>
      <c r="K1077" s="8">
        <v>5</v>
      </c>
      <c r="L1077" s="8"/>
      <c r="M1077" s="9">
        <v>469.64</v>
      </c>
      <c r="N1077" s="9">
        <f t="shared" si="99"/>
        <v>2348.1999999999998</v>
      </c>
      <c r="O1077" s="9"/>
      <c r="P1077" s="9"/>
      <c r="Q1077" s="10" t="s">
        <v>159</v>
      </c>
    </row>
    <row r="1078" spans="1:17" s="11" customFormat="1" ht="40.5" x14ac:dyDescent="0.3">
      <c r="A1078" s="18" t="s">
        <v>2183</v>
      </c>
      <c r="B1078" s="23">
        <v>45414</v>
      </c>
      <c r="C1078" s="8">
        <v>10</v>
      </c>
      <c r="D1078" s="25" t="s">
        <v>2321</v>
      </c>
      <c r="E1078" s="12" t="s">
        <v>2188</v>
      </c>
      <c r="F1078" s="18" t="s">
        <v>1779</v>
      </c>
      <c r="G1078" s="8">
        <v>400</v>
      </c>
      <c r="H1078" s="8"/>
      <c r="I1078" s="8">
        <f>200+200</f>
        <v>400</v>
      </c>
      <c r="J1078" s="8"/>
      <c r="K1078" s="8">
        <f>+G1078+H1078+-I1078</f>
        <v>0</v>
      </c>
      <c r="L1078" s="8"/>
      <c r="M1078" s="9">
        <v>1.71</v>
      </c>
      <c r="N1078" s="9">
        <f t="shared" si="99"/>
        <v>0</v>
      </c>
      <c r="O1078" s="9"/>
      <c r="P1078" s="9"/>
      <c r="Q1078" s="10" t="s">
        <v>159</v>
      </c>
    </row>
    <row r="1079" spans="1:17" s="11" customFormat="1" ht="40.5" x14ac:dyDescent="0.3">
      <c r="A1079" s="18" t="s">
        <v>2195</v>
      </c>
      <c r="B1079" s="23">
        <v>45414</v>
      </c>
      <c r="C1079" s="8">
        <v>10</v>
      </c>
      <c r="D1079" s="25" t="s">
        <v>2321</v>
      </c>
      <c r="E1079" s="12" t="s">
        <v>2189</v>
      </c>
      <c r="F1079" s="18" t="s">
        <v>1779</v>
      </c>
      <c r="G1079" s="8">
        <f>200+89</f>
        <v>289</v>
      </c>
      <c r="H1079" s="8"/>
      <c r="I1079" s="8">
        <f>89+100+100</f>
        <v>289</v>
      </c>
      <c r="J1079" s="8"/>
      <c r="K1079" s="8">
        <f>+G1079+H1079+-I1079</f>
        <v>0</v>
      </c>
      <c r="L1079" s="8"/>
      <c r="M1079" s="9">
        <v>1.71</v>
      </c>
      <c r="N1079" s="9">
        <f t="shared" si="99"/>
        <v>0</v>
      </c>
      <c r="O1079" s="9"/>
      <c r="P1079" s="9"/>
      <c r="Q1079" s="10" t="s">
        <v>159</v>
      </c>
    </row>
    <row r="1080" spans="1:17" s="11" customFormat="1" ht="40.5" x14ac:dyDescent="0.3">
      <c r="A1080" s="18" t="s">
        <v>2196</v>
      </c>
      <c r="B1080" s="23">
        <v>45638</v>
      </c>
      <c r="C1080" s="8"/>
      <c r="D1080" s="25" t="s">
        <v>2321</v>
      </c>
      <c r="E1080" s="12" t="s">
        <v>1324</v>
      </c>
      <c r="F1080" s="18" t="s">
        <v>1779</v>
      </c>
      <c r="G1080" s="8"/>
      <c r="H1080" s="8">
        <v>3</v>
      </c>
      <c r="I1080" s="8"/>
      <c r="J1080" s="8"/>
      <c r="K1080" s="8">
        <f t="shared" ref="K1080:K1086" si="100">+G1080+H1080-I1080+J1080</f>
        <v>3</v>
      </c>
      <c r="L1080" s="8"/>
      <c r="M1080" s="9">
        <v>115.88</v>
      </c>
      <c r="N1080" s="9">
        <f t="shared" si="99"/>
        <v>347.64</v>
      </c>
      <c r="O1080" s="9"/>
      <c r="P1080" s="9"/>
      <c r="Q1080" s="10" t="s">
        <v>1307</v>
      </c>
    </row>
    <row r="1081" spans="1:17" s="11" customFormat="1" ht="40.5" x14ac:dyDescent="0.3">
      <c r="A1081" s="18" t="s">
        <v>2197</v>
      </c>
      <c r="B1081" s="23">
        <v>45638</v>
      </c>
      <c r="C1081" s="8"/>
      <c r="D1081" s="25" t="s">
        <v>2321</v>
      </c>
      <c r="E1081" s="12" t="s">
        <v>1323</v>
      </c>
      <c r="F1081" s="18" t="s">
        <v>1779</v>
      </c>
      <c r="G1081" s="8"/>
      <c r="H1081" s="8">
        <v>6</v>
      </c>
      <c r="I1081" s="8">
        <v>3</v>
      </c>
      <c r="J1081" s="8"/>
      <c r="K1081" s="8">
        <f t="shared" si="100"/>
        <v>3</v>
      </c>
      <c r="L1081" s="8"/>
      <c r="M1081" s="9">
        <v>115.88</v>
      </c>
      <c r="N1081" s="9">
        <f t="shared" si="99"/>
        <v>347.64</v>
      </c>
      <c r="O1081" s="9"/>
      <c r="P1081" s="9"/>
      <c r="Q1081" s="10" t="s">
        <v>1307</v>
      </c>
    </row>
    <row r="1082" spans="1:17" s="11" customFormat="1" ht="40.5" x14ac:dyDescent="0.3">
      <c r="A1082" s="18" t="s">
        <v>2244</v>
      </c>
      <c r="B1082" s="23">
        <v>45638</v>
      </c>
      <c r="C1082" s="8"/>
      <c r="D1082" s="25" t="s">
        <v>2321</v>
      </c>
      <c r="E1082" s="12" t="s">
        <v>1326</v>
      </c>
      <c r="F1082" s="18" t="s">
        <v>1779</v>
      </c>
      <c r="G1082" s="8"/>
      <c r="H1082" s="8">
        <v>100</v>
      </c>
      <c r="I1082" s="8"/>
      <c r="J1082" s="8"/>
      <c r="K1082" s="8">
        <f t="shared" si="100"/>
        <v>100</v>
      </c>
      <c r="L1082" s="8"/>
      <c r="M1082" s="9">
        <v>115.88</v>
      </c>
      <c r="N1082" s="9">
        <f t="shared" si="99"/>
        <v>11588</v>
      </c>
      <c r="O1082" s="9"/>
      <c r="P1082" s="9"/>
      <c r="Q1082" s="10" t="s">
        <v>1307</v>
      </c>
    </row>
    <row r="1083" spans="1:17" s="11" customFormat="1" ht="40.5" x14ac:dyDescent="0.3">
      <c r="A1083" s="18" t="s">
        <v>2245</v>
      </c>
      <c r="B1083" s="23">
        <v>45638</v>
      </c>
      <c r="C1083" s="8"/>
      <c r="D1083" s="25" t="s">
        <v>2321</v>
      </c>
      <c r="E1083" s="12" t="s">
        <v>1325</v>
      </c>
      <c r="F1083" s="18" t="s">
        <v>1779</v>
      </c>
      <c r="G1083" s="8">
        <v>100</v>
      </c>
      <c r="H1083" s="8"/>
      <c r="I1083" s="8"/>
      <c r="J1083" s="8"/>
      <c r="K1083" s="8">
        <f t="shared" si="100"/>
        <v>100</v>
      </c>
      <c r="L1083" s="8"/>
      <c r="M1083" s="9">
        <v>115.88</v>
      </c>
      <c r="N1083" s="9">
        <f t="shared" si="99"/>
        <v>11588</v>
      </c>
      <c r="O1083" s="9"/>
      <c r="P1083" s="9"/>
      <c r="Q1083" s="10" t="s">
        <v>1307</v>
      </c>
    </row>
    <row r="1084" spans="1:17" s="11" customFormat="1" ht="40.5" x14ac:dyDescent="0.3">
      <c r="A1084" s="18" t="s">
        <v>2246</v>
      </c>
      <c r="B1084" s="23">
        <v>45642</v>
      </c>
      <c r="C1084" s="8"/>
      <c r="D1084" s="25" t="s">
        <v>2318</v>
      </c>
      <c r="E1084" s="12" t="s">
        <v>1318</v>
      </c>
      <c r="F1084" s="18" t="s">
        <v>1779</v>
      </c>
      <c r="G1084" s="8"/>
      <c r="H1084" s="8">
        <v>5</v>
      </c>
      <c r="I1084" s="8"/>
      <c r="J1084" s="8"/>
      <c r="K1084" s="8">
        <f t="shared" si="100"/>
        <v>5</v>
      </c>
      <c r="L1084" s="8"/>
      <c r="M1084" s="9">
        <v>618.98</v>
      </c>
      <c r="N1084" s="9">
        <f t="shared" ref="N1084:N1102" si="101">+K1084*M1084</f>
        <v>3094.9</v>
      </c>
      <c r="O1084" s="9"/>
      <c r="P1084" s="9"/>
      <c r="Q1084" s="10" t="s">
        <v>1307</v>
      </c>
    </row>
    <row r="1085" spans="1:17" s="11" customFormat="1" ht="40.5" x14ac:dyDescent="0.3">
      <c r="A1085" s="18" t="s">
        <v>2247</v>
      </c>
      <c r="B1085" s="23">
        <v>45642</v>
      </c>
      <c r="C1085" s="8"/>
      <c r="D1085" s="25" t="s">
        <v>2318</v>
      </c>
      <c r="E1085" s="12" t="s">
        <v>1317</v>
      </c>
      <c r="F1085" s="18" t="s">
        <v>1779</v>
      </c>
      <c r="G1085" s="8"/>
      <c r="H1085" s="8">
        <v>2</v>
      </c>
      <c r="I1085" s="8"/>
      <c r="J1085" s="8"/>
      <c r="K1085" s="8">
        <f t="shared" si="100"/>
        <v>2</v>
      </c>
      <c r="L1085" s="8"/>
      <c r="M1085" s="9">
        <v>689.06</v>
      </c>
      <c r="N1085" s="9">
        <f t="shared" si="101"/>
        <v>1378.12</v>
      </c>
      <c r="O1085" s="9"/>
      <c r="P1085" s="9"/>
      <c r="Q1085" s="10" t="s">
        <v>1307</v>
      </c>
    </row>
    <row r="1086" spans="1:17" s="11" customFormat="1" ht="20.25" x14ac:dyDescent="0.3">
      <c r="A1086" s="18" t="s">
        <v>2248</v>
      </c>
      <c r="B1086" s="23">
        <v>45642</v>
      </c>
      <c r="C1086" s="8"/>
      <c r="D1086" s="25" t="s">
        <v>2318</v>
      </c>
      <c r="E1086" s="12" t="s">
        <v>1424</v>
      </c>
      <c r="F1086" s="18" t="s">
        <v>1779</v>
      </c>
      <c r="G1086" s="8"/>
      <c r="H1086" s="8">
        <v>3</v>
      </c>
      <c r="I1086" s="8"/>
      <c r="J1086" s="8"/>
      <c r="K1086" s="8">
        <f t="shared" si="100"/>
        <v>3</v>
      </c>
      <c r="L1086" s="8"/>
      <c r="M1086" s="9">
        <v>763.46</v>
      </c>
      <c r="N1086" s="9">
        <f t="shared" si="101"/>
        <v>2290.38</v>
      </c>
      <c r="O1086" s="9"/>
      <c r="P1086" s="9"/>
      <c r="Q1086" s="10" t="s">
        <v>1321</v>
      </c>
    </row>
    <row r="1087" spans="1:17" s="11" customFormat="1" ht="20.25" x14ac:dyDescent="0.3">
      <c r="A1087" s="18" t="s">
        <v>2249</v>
      </c>
      <c r="B1087" s="23">
        <v>45642</v>
      </c>
      <c r="C1087" s="8"/>
      <c r="D1087" s="25" t="s">
        <v>2385</v>
      </c>
      <c r="E1087" s="12" t="s">
        <v>422</v>
      </c>
      <c r="F1087" s="18" t="s">
        <v>1779</v>
      </c>
      <c r="G1087" s="8">
        <v>8</v>
      </c>
      <c r="H1087" s="8"/>
      <c r="I1087" s="8">
        <f>1+2+1+1+2+1</f>
        <v>8</v>
      </c>
      <c r="J1087" s="8"/>
      <c r="K1087" s="8">
        <f>+G1087+H1087+-I1087</f>
        <v>0</v>
      </c>
      <c r="L1087" s="8"/>
      <c r="M1087" s="9">
        <v>40.340000000000003</v>
      </c>
      <c r="N1087" s="9">
        <f t="shared" si="101"/>
        <v>0</v>
      </c>
      <c r="O1087" s="9"/>
      <c r="P1087" s="9"/>
      <c r="Q1087" s="10" t="s">
        <v>297</v>
      </c>
    </row>
    <row r="1088" spans="1:17" s="11" customFormat="1" ht="20.25" x14ac:dyDescent="0.3">
      <c r="A1088" s="18" t="s">
        <v>2250</v>
      </c>
      <c r="B1088" s="23">
        <v>45642</v>
      </c>
      <c r="C1088" s="8"/>
      <c r="D1088" s="25" t="s">
        <v>2320</v>
      </c>
      <c r="E1088" s="12" t="s">
        <v>102</v>
      </c>
      <c r="F1088" s="18" t="s">
        <v>1779</v>
      </c>
      <c r="G1088" s="8">
        <v>3</v>
      </c>
      <c r="H1088" s="8"/>
      <c r="I1088" s="8"/>
      <c r="J1088" s="8"/>
      <c r="K1088" s="8">
        <f>+G1088+H1088-I1088</f>
        <v>3</v>
      </c>
      <c r="L1088" s="8"/>
      <c r="M1088" s="9">
        <v>995</v>
      </c>
      <c r="N1088" s="9">
        <f t="shared" si="101"/>
        <v>2985</v>
      </c>
      <c r="O1088" s="9"/>
      <c r="P1088" s="9"/>
      <c r="Q1088" s="10" t="s">
        <v>25</v>
      </c>
    </row>
    <row r="1089" spans="1:17" s="11" customFormat="1" ht="20.25" x14ac:dyDescent="0.3">
      <c r="A1089" s="18" t="s">
        <v>2251</v>
      </c>
      <c r="B1089" s="23">
        <v>45642</v>
      </c>
      <c r="C1089" s="8"/>
      <c r="D1089" s="25" t="s">
        <v>2385</v>
      </c>
      <c r="E1089" s="12" t="s">
        <v>423</v>
      </c>
      <c r="F1089" s="18" t="s">
        <v>1779</v>
      </c>
      <c r="G1089" s="8">
        <v>4</v>
      </c>
      <c r="H1089" s="8"/>
      <c r="I1089" s="8">
        <v>1</v>
      </c>
      <c r="J1089" s="8"/>
      <c r="K1089" s="8">
        <f>+G1089+H1089+-I1089</f>
        <v>3</v>
      </c>
      <c r="L1089" s="8"/>
      <c r="M1089" s="9">
        <v>53.99</v>
      </c>
      <c r="N1089" s="9">
        <f t="shared" si="101"/>
        <v>161.97</v>
      </c>
      <c r="O1089" s="9"/>
      <c r="P1089" s="9"/>
      <c r="Q1089" s="10" t="s">
        <v>297</v>
      </c>
    </row>
    <row r="1090" spans="1:17" s="11" customFormat="1" ht="20.25" x14ac:dyDescent="0.3">
      <c r="A1090" s="18" t="s">
        <v>2252</v>
      </c>
      <c r="B1090" s="23">
        <v>45642</v>
      </c>
      <c r="C1090" s="8"/>
      <c r="D1090" s="25" t="s">
        <v>2394</v>
      </c>
      <c r="E1090" s="12" t="s">
        <v>1336</v>
      </c>
      <c r="F1090" s="18" t="s">
        <v>1779</v>
      </c>
      <c r="G1090" s="8">
        <v>9</v>
      </c>
      <c r="H1090" s="8"/>
      <c r="I1090" s="8">
        <f>1+1</f>
        <v>2</v>
      </c>
      <c r="J1090" s="8"/>
      <c r="K1090" s="8">
        <f>+G1090+H1090-I1090</f>
        <v>7</v>
      </c>
      <c r="L1090" s="8"/>
      <c r="M1090" s="9">
        <v>105</v>
      </c>
      <c r="N1090" s="9">
        <f t="shared" si="101"/>
        <v>735</v>
      </c>
      <c r="O1090" s="9"/>
      <c r="P1090" s="9"/>
      <c r="Q1090" s="10" t="s">
        <v>25</v>
      </c>
    </row>
    <row r="1091" spans="1:17" s="11" customFormat="1" ht="20.25" x14ac:dyDescent="0.3">
      <c r="A1091" s="18" t="s">
        <v>2253</v>
      </c>
      <c r="B1091" s="23">
        <v>45642</v>
      </c>
      <c r="C1091" s="8"/>
      <c r="D1091" s="25" t="s">
        <v>2438</v>
      </c>
      <c r="E1091" s="12" t="s">
        <v>15</v>
      </c>
      <c r="F1091" s="18" t="s">
        <v>1779</v>
      </c>
      <c r="G1091" s="8">
        <v>4</v>
      </c>
      <c r="H1091" s="8"/>
      <c r="I1091" s="8"/>
      <c r="J1091" s="8"/>
      <c r="K1091" s="8">
        <f>+G1091+H1091-I1091</f>
        <v>4</v>
      </c>
      <c r="L1091" s="8"/>
      <c r="M1091" s="9">
        <v>315</v>
      </c>
      <c r="N1091" s="9">
        <f t="shared" si="101"/>
        <v>1260</v>
      </c>
      <c r="O1091" s="9"/>
      <c r="P1091" s="9"/>
      <c r="Q1091" s="10" t="s">
        <v>6</v>
      </c>
    </row>
    <row r="1092" spans="1:17" s="11" customFormat="1" ht="20.25" x14ac:dyDescent="0.3">
      <c r="A1092" s="18" t="s">
        <v>2254</v>
      </c>
      <c r="B1092" s="23">
        <v>45643</v>
      </c>
      <c r="C1092" s="8"/>
      <c r="D1092" s="25" t="s">
        <v>2394</v>
      </c>
      <c r="E1092" s="12" t="s">
        <v>104</v>
      </c>
      <c r="F1092" s="18" t="s">
        <v>1779</v>
      </c>
      <c r="G1092" s="8">
        <v>0</v>
      </c>
      <c r="H1092" s="8"/>
      <c r="I1092" s="8"/>
      <c r="J1092" s="8"/>
      <c r="K1092" s="8">
        <f>+G1092+H1092-I1092</f>
        <v>0</v>
      </c>
      <c r="L1092" s="8"/>
      <c r="M1092" s="9">
        <v>145</v>
      </c>
      <c r="N1092" s="9">
        <f t="shared" si="101"/>
        <v>0</v>
      </c>
      <c r="O1092" s="9"/>
      <c r="P1092" s="9"/>
      <c r="Q1092" s="10" t="s">
        <v>25</v>
      </c>
    </row>
    <row r="1093" spans="1:17" s="11" customFormat="1" ht="20.25" x14ac:dyDescent="0.3">
      <c r="A1093" s="18" t="s">
        <v>2255</v>
      </c>
      <c r="B1093" s="23">
        <v>45642</v>
      </c>
      <c r="C1093" s="8"/>
      <c r="D1093" s="25" t="s">
        <v>2394</v>
      </c>
      <c r="E1093" s="12" t="s">
        <v>105</v>
      </c>
      <c r="F1093" s="18" t="s">
        <v>1779</v>
      </c>
      <c r="G1093" s="8">
        <v>15</v>
      </c>
      <c r="H1093" s="8"/>
      <c r="I1093" s="8">
        <f>3+3+7</f>
        <v>13</v>
      </c>
      <c r="J1093" s="8"/>
      <c r="K1093" s="8">
        <f>+G1093+H1093-I1093</f>
        <v>2</v>
      </c>
      <c r="L1093" s="8"/>
      <c r="M1093" s="9">
        <v>277.3</v>
      </c>
      <c r="N1093" s="9">
        <f t="shared" si="101"/>
        <v>554.6</v>
      </c>
      <c r="O1093" s="9"/>
      <c r="P1093" s="9"/>
      <c r="Q1093" s="10" t="s">
        <v>25</v>
      </c>
    </row>
    <row r="1094" spans="1:17" s="11" customFormat="1" ht="40.5" x14ac:dyDescent="0.3">
      <c r="A1094" s="18" t="s">
        <v>2256</v>
      </c>
      <c r="B1094" s="19" t="s">
        <v>2337</v>
      </c>
      <c r="C1094" s="20"/>
      <c r="D1094" s="25" t="s">
        <v>2394</v>
      </c>
      <c r="E1094" s="12" t="s">
        <v>2348</v>
      </c>
      <c r="F1094" s="18" t="s">
        <v>1779</v>
      </c>
      <c r="G1094" s="8"/>
      <c r="H1094" s="8">
        <v>30</v>
      </c>
      <c r="I1094" s="8"/>
      <c r="J1094" s="8"/>
      <c r="K1094" s="8">
        <f>+G1094+H1094-I1094+J1094</f>
        <v>30</v>
      </c>
      <c r="L1094" s="8"/>
      <c r="M1094" s="9">
        <v>593.39</v>
      </c>
      <c r="N1094" s="9">
        <f t="shared" si="101"/>
        <v>17801.7</v>
      </c>
      <c r="O1094" s="9"/>
      <c r="P1094" s="9"/>
      <c r="Q1094" s="10" t="s">
        <v>25</v>
      </c>
    </row>
    <row r="1095" spans="1:17" s="11" customFormat="1" ht="40.5" x14ac:dyDescent="0.3">
      <c r="A1095" s="18" t="s">
        <v>2257</v>
      </c>
      <c r="B1095" s="19" t="s">
        <v>2337</v>
      </c>
      <c r="C1095" s="20"/>
      <c r="D1095" s="25" t="s">
        <v>2394</v>
      </c>
      <c r="E1095" s="12" t="s">
        <v>2344</v>
      </c>
      <c r="F1095" s="18" t="s">
        <v>1779</v>
      </c>
      <c r="G1095" s="8"/>
      <c r="H1095" s="8">
        <f>20+30</f>
        <v>50</v>
      </c>
      <c r="I1095" s="8"/>
      <c r="J1095" s="8"/>
      <c r="K1095" s="8">
        <f>+G1095+H1095-I1095+J1095</f>
        <v>50</v>
      </c>
      <c r="L1095" s="8"/>
      <c r="M1095" s="9">
        <v>88.93</v>
      </c>
      <c r="N1095" s="9">
        <f t="shared" si="101"/>
        <v>4446.5</v>
      </c>
      <c r="O1095" s="9"/>
      <c r="P1095" s="9"/>
      <c r="Q1095" s="10" t="s">
        <v>25</v>
      </c>
    </row>
    <row r="1096" spans="1:17" s="11" customFormat="1" ht="20.25" x14ac:dyDescent="0.3">
      <c r="A1096" s="18" t="s">
        <v>2258</v>
      </c>
      <c r="B1096" s="23" t="s">
        <v>1490</v>
      </c>
      <c r="C1096" s="8"/>
      <c r="D1096" s="25" t="s">
        <v>2394</v>
      </c>
      <c r="E1096" s="12" t="s">
        <v>1642</v>
      </c>
      <c r="F1096" s="18" t="s">
        <v>1779</v>
      </c>
      <c r="G1096" s="8"/>
      <c r="H1096" s="8">
        <v>50</v>
      </c>
      <c r="I1096" s="8">
        <f>6+13+10+1+2+8+2+2+1+3</f>
        <v>48</v>
      </c>
      <c r="J1096" s="8"/>
      <c r="K1096" s="8">
        <f>+G1096+H1096-I1096+J1096</f>
        <v>2</v>
      </c>
      <c r="L1096" s="8"/>
      <c r="M1096" s="9">
        <v>134.52000000000001</v>
      </c>
      <c r="N1096" s="9">
        <f t="shared" si="101"/>
        <v>269.04000000000002</v>
      </c>
      <c r="O1096" s="9"/>
      <c r="P1096" s="9"/>
      <c r="Q1096" s="10" t="s">
        <v>25</v>
      </c>
    </row>
    <row r="1097" spans="1:17" s="11" customFormat="1" ht="40.5" x14ac:dyDescent="0.3">
      <c r="A1097" s="18" t="s">
        <v>2259</v>
      </c>
      <c r="B1097" s="23" t="s">
        <v>1490</v>
      </c>
      <c r="C1097" s="8"/>
      <c r="D1097" s="25" t="s">
        <v>2385</v>
      </c>
      <c r="E1097" s="12" t="s">
        <v>527</v>
      </c>
      <c r="F1097" s="18" t="s">
        <v>1779</v>
      </c>
      <c r="G1097" s="8">
        <v>3</v>
      </c>
      <c r="H1097" s="8"/>
      <c r="I1097" s="8"/>
      <c r="J1097" s="8"/>
      <c r="K1097" s="8">
        <f t="shared" ref="K1097:K1102" si="102">+G1097+H1097+-I1097</f>
        <v>3</v>
      </c>
      <c r="L1097" s="8"/>
      <c r="M1097" s="9">
        <v>4204</v>
      </c>
      <c r="N1097" s="9">
        <f t="shared" si="101"/>
        <v>12612</v>
      </c>
      <c r="O1097" s="9"/>
      <c r="P1097" s="9"/>
      <c r="Q1097" s="10" t="s">
        <v>500</v>
      </c>
    </row>
    <row r="1098" spans="1:17" s="11" customFormat="1" ht="40.5" x14ac:dyDescent="0.3">
      <c r="A1098" s="18" t="s">
        <v>2260</v>
      </c>
      <c r="B1098" s="23" t="s">
        <v>1490</v>
      </c>
      <c r="C1098" s="8"/>
      <c r="D1098" s="25" t="s">
        <v>2385</v>
      </c>
      <c r="E1098" s="12" t="s">
        <v>509</v>
      </c>
      <c r="F1098" s="18" t="s">
        <v>1779</v>
      </c>
      <c r="G1098" s="8">
        <v>2</v>
      </c>
      <c r="H1098" s="8"/>
      <c r="I1098" s="8"/>
      <c r="J1098" s="8"/>
      <c r="K1098" s="8">
        <f t="shared" si="102"/>
        <v>2</v>
      </c>
      <c r="L1098" s="8"/>
      <c r="M1098" s="9">
        <v>4897</v>
      </c>
      <c r="N1098" s="9">
        <f t="shared" si="101"/>
        <v>9794</v>
      </c>
      <c r="O1098" s="9"/>
      <c r="P1098" s="9"/>
      <c r="Q1098" s="10" t="s">
        <v>500</v>
      </c>
    </row>
    <row r="1099" spans="1:17" s="11" customFormat="1" ht="40.5" x14ac:dyDescent="0.3">
      <c r="A1099" s="18" t="s">
        <v>2261</v>
      </c>
      <c r="B1099" s="23" t="s">
        <v>1490</v>
      </c>
      <c r="C1099" s="8"/>
      <c r="D1099" s="25" t="s">
        <v>2385</v>
      </c>
      <c r="E1099" s="12" t="s">
        <v>511</v>
      </c>
      <c r="F1099" s="18" t="s">
        <v>1779</v>
      </c>
      <c r="G1099" s="8">
        <v>12</v>
      </c>
      <c r="H1099" s="8"/>
      <c r="I1099" s="8"/>
      <c r="J1099" s="8"/>
      <c r="K1099" s="8">
        <f t="shared" si="102"/>
        <v>12</v>
      </c>
      <c r="L1099" s="8"/>
      <c r="M1099" s="9">
        <v>4204</v>
      </c>
      <c r="N1099" s="9">
        <f t="shared" si="101"/>
        <v>50448</v>
      </c>
      <c r="O1099" s="9"/>
      <c r="P1099" s="9"/>
      <c r="Q1099" s="10" t="s">
        <v>500</v>
      </c>
    </row>
    <row r="1100" spans="1:17" s="11" customFormat="1" ht="40.5" x14ac:dyDescent="0.3">
      <c r="A1100" s="18" t="s">
        <v>2262</v>
      </c>
      <c r="B1100" s="23" t="s">
        <v>1490</v>
      </c>
      <c r="C1100" s="8"/>
      <c r="D1100" s="25" t="s">
        <v>2385</v>
      </c>
      <c r="E1100" s="12" t="s">
        <v>514</v>
      </c>
      <c r="F1100" s="18" t="s">
        <v>1779</v>
      </c>
      <c r="G1100" s="8">
        <v>2</v>
      </c>
      <c r="H1100" s="8"/>
      <c r="I1100" s="8"/>
      <c r="J1100" s="8"/>
      <c r="K1100" s="8">
        <f t="shared" si="102"/>
        <v>2</v>
      </c>
      <c r="L1100" s="8"/>
      <c r="M1100" s="9">
        <v>650</v>
      </c>
      <c r="N1100" s="9">
        <f t="shared" si="101"/>
        <v>1300</v>
      </c>
      <c r="O1100" s="9"/>
      <c r="P1100" s="9"/>
      <c r="Q1100" s="10" t="s">
        <v>500</v>
      </c>
    </row>
    <row r="1101" spans="1:17" s="11" customFormat="1" ht="40.5" x14ac:dyDescent="0.3">
      <c r="A1101" s="18" t="s">
        <v>2263</v>
      </c>
      <c r="B1101" s="23" t="s">
        <v>1490</v>
      </c>
      <c r="C1101" s="8"/>
      <c r="D1101" s="25" t="s">
        <v>2385</v>
      </c>
      <c r="E1101" s="12" t="s">
        <v>515</v>
      </c>
      <c r="F1101" s="18" t="s">
        <v>1779</v>
      </c>
      <c r="G1101" s="8">
        <v>1</v>
      </c>
      <c r="H1101" s="8"/>
      <c r="I1101" s="8"/>
      <c r="J1101" s="8"/>
      <c r="K1101" s="8">
        <f t="shared" si="102"/>
        <v>1</v>
      </c>
      <c r="L1101" s="8"/>
      <c r="M1101" s="9">
        <v>650</v>
      </c>
      <c r="N1101" s="9">
        <f t="shared" si="101"/>
        <v>650</v>
      </c>
      <c r="O1101" s="9"/>
      <c r="P1101" s="9"/>
      <c r="Q1101" s="10" t="s">
        <v>500</v>
      </c>
    </row>
    <row r="1102" spans="1:17" s="11" customFormat="1" ht="40.5" x14ac:dyDescent="0.3">
      <c r="A1102" s="18" t="s">
        <v>2264</v>
      </c>
      <c r="B1102" s="23" t="s">
        <v>1498</v>
      </c>
      <c r="C1102" s="8"/>
      <c r="D1102" s="25" t="s">
        <v>2385</v>
      </c>
      <c r="E1102" s="12" t="s">
        <v>516</v>
      </c>
      <c r="F1102" s="18" t="s">
        <v>1779</v>
      </c>
      <c r="G1102" s="8">
        <v>1</v>
      </c>
      <c r="H1102" s="8"/>
      <c r="I1102" s="8"/>
      <c r="J1102" s="8"/>
      <c r="K1102" s="8">
        <f t="shared" si="102"/>
        <v>1</v>
      </c>
      <c r="L1102" s="8"/>
      <c r="M1102" s="9">
        <v>650</v>
      </c>
      <c r="N1102" s="9">
        <f t="shared" si="101"/>
        <v>650</v>
      </c>
      <c r="O1102" s="9"/>
      <c r="P1102" s="9"/>
      <c r="Q1102" s="10" t="s">
        <v>500</v>
      </c>
    </row>
    <row r="1103" spans="1:17" s="11" customFormat="1" ht="40.5" x14ac:dyDescent="0.3">
      <c r="A1103" s="18" t="s">
        <v>2265</v>
      </c>
      <c r="B1103" s="19">
        <v>45813</v>
      </c>
      <c r="C1103" s="20"/>
      <c r="D1103" s="25" t="s">
        <v>2385</v>
      </c>
      <c r="E1103" s="12" t="s">
        <v>2224</v>
      </c>
      <c r="F1103" s="21" t="s">
        <v>1779</v>
      </c>
      <c r="G1103" s="8"/>
      <c r="H1103" s="8">
        <v>2</v>
      </c>
      <c r="I1103" s="8"/>
      <c r="J1103" s="8"/>
      <c r="K1103" s="8">
        <f>+G1103+H1103-I1103+J1103</f>
        <v>2</v>
      </c>
      <c r="L1103" s="8"/>
      <c r="M1103" s="9">
        <v>8186</v>
      </c>
      <c r="N1103" s="9"/>
      <c r="O1103" s="9"/>
      <c r="P1103" s="9"/>
      <c r="Q1103" s="10" t="s">
        <v>2243</v>
      </c>
    </row>
    <row r="1104" spans="1:17" s="11" customFormat="1" ht="20.25" customHeight="1" x14ac:dyDescent="0.3">
      <c r="A1104" s="18" t="s">
        <v>2266</v>
      </c>
      <c r="B1104" s="19">
        <v>45813</v>
      </c>
      <c r="C1104" s="20"/>
      <c r="D1104" s="25" t="s">
        <v>2385</v>
      </c>
      <c r="E1104" s="12" t="s">
        <v>2223</v>
      </c>
      <c r="F1104" s="21" t="s">
        <v>1779</v>
      </c>
      <c r="G1104" s="8"/>
      <c r="H1104" s="8">
        <v>2</v>
      </c>
      <c r="I1104" s="8"/>
      <c r="J1104" s="8"/>
      <c r="K1104" s="8">
        <f>+G1104+H1104-I1104+J1104</f>
        <v>2</v>
      </c>
      <c r="L1104" s="8"/>
      <c r="M1104" s="9">
        <v>8186</v>
      </c>
      <c r="N1104" s="9"/>
      <c r="O1104" s="9"/>
      <c r="P1104" s="9"/>
      <c r="Q1104" s="10" t="s">
        <v>2243</v>
      </c>
    </row>
    <row r="1105" spans="1:17" s="11" customFormat="1" ht="20.25" customHeight="1" x14ac:dyDescent="0.3">
      <c r="A1105" s="18" t="s">
        <v>2267</v>
      </c>
      <c r="B1105" s="19">
        <v>45813</v>
      </c>
      <c r="C1105" s="20"/>
      <c r="D1105" s="25" t="s">
        <v>2385</v>
      </c>
      <c r="E1105" s="12" t="s">
        <v>2222</v>
      </c>
      <c r="F1105" s="21" t="s">
        <v>1779</v>
      </c>
      <c r="G1105" s="8"/>
      <c r="H1105" s="8">
        <v>2</v>
      </c>
      <c r="I1105" s="8"/>
      <c r="J1105" s="8"/>
      <c r="K1105" s="8">
        <f>+G1105+H1105-I1105+J1105</f>
        <v>2</v>
      </c>
      <c r="L1105" s="8"/>
      <c r="M1105" s="9">
        <v>8186</v>
      </c>
      <c r="N1105" s="9"/>
      <c r="O1105" s="9"/>
      <c r="P1105" s="9"/>
      <c r="Q1105" s="10" t="s">
        <v>2243</v>
      </c>
    </row>
    <row r="1106" spans="1:17" s="11" customFormat="1" ht="40.5" x14ac:dyDescent="0.3">
      <c r="A1106" s="18" t="s">
        <v>2268</v>
      </c>
      <c r="B1106" s="19">
        <v>45813</v>
      </c>
      <c r="C1106" s="20"/>
      <c r="D1106" s="25" t="s">
        <v>2385</v>
      </c>
      <c r="E1106" s="12" t="s">
        <v>2221</v>
      </c>
      <c r="F1106" s="21" t="s">
        <v>1779</v>
      </c>
      <c r="G1106" s="8"/>
      <c r="H1106" s="8">
        <v>2</v>
      </c>
      <c r="I1106" s="8"/>
      <c r="J1106" s="8"/>
      <c r="K1106" s="8">
        <f>+G1106+H1106-I1106+J1106</f>
        <v>2</v>
      </c>
      <c r="L1106" s="8"/>
      <c r="M1106" s="9">
        <v>7749</v>
      </c>
      <c r="N1106" s="9"/>
      <c r="O1106" s="9"/>
      <c r="P1106" s="9"/>
      <c r="Q1106" s="10" t="s">
        <v>2243</v>
      </c>
    </row>
    <row r="1107" spans="1:17" s="11" customFormat="1" ht="40.5" x14ac:dyDescent="0.3">
      <c r="A1107" s="18" t="s">
        <v>2269</v>
      </c>
      <c r="B1107" s="23" t="s">
        <v>1498</v>
      </c>
      <c r="C1107" s="8"/>
      <c r="D1107" s="25" t="s">
        <v>2385</v>
      </c>
      <c r="E1107" s="12" t="s">
        <v>513</v>
      </c>
      <c r="F1107" s="18" t="s">
        <v>1779</v>
      </c>
      <c r="G1107" s="8">
        <v>2</v>
      </c>
      <c r="H1107" s="8"/>
      <c r="I1107" s="8"/>
      <c r="J1107" s="8"/>
      <c r="K1107" s="8">
        <f t="shared" ref="K1107:K1114" si="103">+G1107+H1107+-I1107</f>
        <v>2</v>
      </c>
      <c r="L1107" s="8"/>
      <c r="M1107" s="9">
        <v>8720</v>
      </c>
      <c r="N1107" s="9">
        <f t="shared" ref="N1107:N1114" si="104">+K1107*M1107</f>
        <v>17440</v>
      </c>
      <c r="O1107" s="9"/>
      <c r="P1107" s="9"/>
      <c r="Q1107" s="10" t="s">
        <v>500</v>
      </c>
    </row>
    <row r="1108" spans="1:17" s="11" customFormat="1" ht="20.25" customHeight="1" x14ac:dyDescent="0.3">
      <c r="A1108" s="18" t="s">
        <v>2270</v>
      </c>
      <c r="B1108" s="23" t="s">
        <v>1498</v>
      </c>
      <c r="C1108" s="8"/>
      <c r="D1108" s="25" t="s">
        <v>2385</v>
      </c>
      <c r="E1108" s="12" t="s">
        <v>505</v>
      </c>
      <c r="F1108" s="18" t="s">
        <v>1779</v>
      </c>
      <c r="G1108" s="8">
        <v>4</v>
      </c>
      <c r="H1108" s="8"/>
      <c r="I1108" s="8"/>
      <c r="J1108" s="8"/>
      <c r="K1108" s="8">
        <f t="shared" si="103"/>
        <v>4</v>
      </c>
      <c r="L1108" s="8"/>
      <c r="M1108" s="9">
        <v>5442.16</v>
      </c>
      <c r="N1108" s="9">
        <f t="shared" si="104"/>
        <v>21768.639999999999</v>
      </c>
      <c r="O1108" s="9"/>
      <c r="P1108" s="9"/>
      <c r="Q1108" s="10" t="s">
        <v>500</v>
      </c>
    </row>
    <row r="1109" spans="1:17" s="11" customFormat="1" ht="40.5" x14ac:dyDescent="0.3">
      <c r="A1109" s="18" t="s">
        <v>2271</v>
      </c>
      <c r="B1109" s="23" t="s">
        <v>1498</v>
      </c>
      <c r="C1109" s="8"/>
      <c r="D1109" s="25" t="s">
        <v>2385</v>
      </c>
      <c r="E1109" s="12" t="s">
        <v>506</v>
      </c>
      <c r="F1109" s="18" t="s">
        <v>1779</v>
      </c>
      <c r="G1109" s="8">
        <v>1</v>
      </c>
      <c r="H1109" s="8"/>
      <c r="I1109" s="8">
        <v>1</v>
      </c>
      <c r="J1109" s="8"/>
      <c r="K1109" s="8">
        <f t="shared" si="103"/>
        <v>0</v>
      </c>
      <c r="L1109" s="8"/>
      <c r="M1109" s="9">
        <v>8720</v>
      </c>
      <c r="N1109" s="9">
        <f t="shared" si="104"/>
        <v>0</v>
      </c>
      <c r="O1109" s="9"/>
      <c r="P1109" s="9"/>
      <c r="Q1109" s="10" t="s">
        <v>500</v>
      </c>
    </row>
    <row r="1110" spans="1:17" s="11" customFormat="1" ht="40.5" x14ac:dyDescent="0.3">
      <c r="A1110" s="18" t="s">
        <v>2272</v>
      </c>
      <c r="B1110" s="23" t="s">
        <v>1498</v>
      </c>
      <c r="C1110" s="8"/>
      <c r="D1110" s="25" t="s">
        <v>2385</v>
      </c>
      <c r="E1110" s="12" t="s">
        <v>503</v>
      </c>
      <c r="F1110" s="18" t="s">
        <v>1779</v>
      </c>
      <c r="G1110" s="8">
        <v>3</v>
      </c>
      <c r="H1110" s="8"/>
      <c r="I1110" s="8"/>
      <c r="J1110" s="8"/>
      <c r="K1110" s="8">
        <f t="shared" si="103"/>
        <v>3</v>
      </c>
      <c r="L1110" s="8"/>
      <c r="M1110" s="9">
        <v>8720</v>
      </c>
      <c r="N1110" s="9">
        <f t="shared" si="104"/>
        <v>26160</v>
      </c>
      <c r="O1110" s="9"/>
      <c r="P1110" s="9"/>
      <c r="Q1110" s="10" t="s">
        <v>500</v>
      </c>
    </row>
    <row r="1111" spans="1:17" s="11" customFormat="1" ht="40.5" x14ac:dyDescent="0.3">
      <c r="A1111" s="18" t="s">
        <v>2273</v>
      </c>
      <c r="B1111" s="23" t="s">
        <v>1498</v>
      </c>
      <c r="C1111" s="8"/>
      <c r="D1111" s="25" t="s">
        <v>2385</v>
      </c>
      <c r="E1111" s="12" t="s">
        <v>503</v>
      </c>
      <c r="F1111" s="18" t="s">
        <v>1779</v>
      </c>
      <c r="G1111" s="8">
        <v>2</v>
      </c>
      <c r="H1111" s="8"/>
      <c r="I1111" s="8"/>
      <c r="J1111" s="8"/>
      <c r="K1111" s="8">
        <f t="shared" si="103"/>
        <v>2</v>
      </c>
      <c r="L1111" s="8"/>
      <c r="M1111" s="9">
        <v>8720</v>
      </c>
      <c r="N1111" s="9">
        <f t="shared" si="104"/>
        <v>17440</v>
      </c>
      <c r="O1111" s="9"/>
      <c r="P1111" s="9"/>
      <c r="Q1111" s="10" t="s">
        <v>500</v>
      </c>
    </row>
    <row r="1112" spans="1:17" s="11" customFormat="1" ht="40.5" x14ac:dyDescent="0.3">
      <c r="A1112" s="18" t="s">
        <v>2274</v>
      </c>
      <c r="B1112" s="23" t="s">
        <v>1498</v>
      </c>
      <c r="C1112" s="8"/>
      <c r="D1112" s="25" t="s">
        <v>2385</v>
      </c>
      <c r="E1112" s="12" t="s">
        <v>507</v>
      </c>
      <c r="F1112" s="18" t="s">
        <v>1779</v>
      </c>
      <c r="G1112" s="8">
        <v>10</v>
      </c>
      <c r="H1112" s="8"/>
      <c r="I1112" s="8"/>
      <c r="J1112" s="8"/>
      <c r="K1112" s="8">
        <f t="shared" si="103"/>
        <v>10</v>
      </c>
      <c r="L1112" s="8"/>
      <c r="M1112" s="9">
        <v>8720.2000000000007</v>
      </c>
      <c r="N1112" s="9">
        <f t="shared" si="104"/>
        <v>87202</v>
      </c>
      <c r="O1112" s="9"/>
      <c r="P1112" s="9"/>
      <c r="Q1112" s="10" t="s">
        <v>500</v>
      </c>
    </row>
    <row r="1113" spans="1:17" s="11" customFormat="1" ht="40.5" x14ac:dyDescent="0.3">
      <c r="A1113" s="18" t="s">
        <v>2275</v>
      </c>
      <c r="B1113" s="23" t="s">
        <v>1498</v>
      </c>
      <c r="C1113" s="8"/>
      <c r="D1113" s="25" t="s">
        <v>2385</v>
      </c>
      <c r="E1113" s="12" t="s">
        <v>504</v>
      </c>
      <c r="F1113" s="18" t="s">
        <v>1779</v>
      </c>
      <c r="G1113" s="8">
        <v>2</v>
      </c>
      <c r="H1113" s="8"/>
      <c r="I1113" s="8"/>
      <c r="J1113" s="8"/>
      <c r="K1113" s="8">
        <f t="shared" si="103"/>
        <v>2</v>
      </c>
      <c r="L1113" s="8"/>
      <c r="M1113" s="9">
        <v>8720</v>
      </c>
      <c r="N1113" s="9">
        <f t="shared" si="104"/>
        <v>17440</v>
      </c>
      <c r="O1113" s="9"/>
      <c r="P1113" s="9"/>
      <c r="Q1113" s="10" t="s">
        <v>500</v>
      </c>
    </row>
    <row r="1114" spans="1:17" s="11" customFormat="1" ht="40.5" x14ac:dyDescent="0.3">
      <c r="A1114" s="18" t="s">
        <v>2276</v>
      </c>
      <c r="B1114" s="23" t="s">
        <v>1498</v>
      </c>
      <c r="C1114" s="8"/>
      <c r="D1114" s="25" t="s">
        <v>2319</v>
      </c>
      <c r="E1114" s="12" t="s">
        <v>1545</v>
      </c>
      <c r="F1114" s="18" t="s">
        <v>1779</v>
      </c>
      <c r="G1114" s="8">
        <f>200+90-10</f>
        <v>280</v>
      </c>
      <c r="H1114" s="8"/>
      <c r="I1114" s="8"/>
      <c r="J1114" s="8"/>
      <c r="K1114" s="8">
        <f t="shared" si="103"/>
        <v>280</v>
      </c>
      <c r="L1114" s="8"/>
      <c r="M1114" s="9">
        <v>1.85</v>
      </c>
      <c r="N1114" s="9">
        <f t="shared" si="104"/>
        <v>518</v>
      </c>
      <c r="O1114" s="9"/>
      <c r="P1114" s="9"/>
      <c r="Q1114" s="10" t="s">
        <v>159</v>
      </c>
    </row>
    <row r="1115" spans="1:17" s="11" customFormat="1" ht="20.25" x14ac:dyDescent="0.3">
      <c r="A1115" s="18" t="s">
        <v>2277</v>
      </c>
      <c r="B1115" s="23">
        <v>45791</v>
      </c>
      <c r="C1115" s="8">
        <v>30</v>
      </c>
      <c r="D1115" s="25" t="s">
        <v>2319</v>
      </c>
      <c r="E1115" s="12" t="s">
        <v>1788</v>
      </c>
      <c r="F1115" s="18" t="s">
        <v>1779</v>
      </c>
      <c r="G1115" s="8"/>
      <c r="H1115" s="8">
        <v>10</v>
      </c>
      <c r="I1115" s="8"/>
      <c r="J1115" s="8"/>
      <c r="K1115" s="8"/>
      <c r="L1115" s="8"/>
      <c r="M1115" s="9"/>
      <c r="N1115" s="9"/>
      <c r="O1115" s="9"/>
      <c r="P1115" s="9"/>
      <c r="Q1115" s="10"/>
    </row>
    <row r="1116" spans="1:17" s="11" customFormat="1" ht="40.5" x14ac:dyDescent="0.3">
      <c r="A1116" s="18" t="s">
        <v>2278</v>
      </c>
      <c r="B1116" s="23" t="s">
        <v>1498</v>
      </c>
      <c r="C1116" s="8">
        <v>10</v>
      </c>
      <c r="D1116" s="25" t="s">
        <v>2319</v>
      </c>
      <c r="E1116" s="12" t="s">
        <v>203</v>
      </c>
      <c r="F1116" s="18" t="s">
        <v>1779</v>
      </c>
      <c r="G1116" s="8">
        <v>105</v>
      </c>
      <c r="H1116" s="8"/>
      <c r="I1116" s="8"/>
      <c r="J1116" s="8"/>
      <c r="K1116" s="8">
        <f>+G1116+H1116+-I1116</f>
        <v>105</v>
      </c>
      <c r="L1116" s="8"/>
      <c r="M1116" s="9">
        <v>1.96</v>
      </c>
      <c r="N1116" s="9">
        <f t="shared" ref="N1116:N1138" si="105">+K1116*M1116</f>
        <v>205.79999999999998</v>
      </c>
      <c r="O1116" s="9"/>
      <c r="P1116" s="9"/>
      <c r="Q1116" s="10" t="s">
        <v>159</v>
      </c>
    </row>
    <row r="1117" spans="1:17" s="11" customFormat="1" ht="40.5" x14ac:dyDescent="0.3">
      <c r="A1117" s="18" t="s">
        <v>2279</v>
      </c>
      <c r="B1117" s="23" t="s">
        <v>1498</v>
      </c>
      <c r="C1117" s="8">
        <v>10</v>
      </c>
      <c r="D1117" s="25" t="s">
        <v>2319</v>
      </c>
      <c r="E1117" s="12" t="s">
        <v>202</v>
      </c>
      <c r="F1117" s="18" t="s">
        <v>1779</v>
      </c>
      <c r="G1117" s="8">
        <v>118</v>
      </c>
      <c r="H1117" s="8"/>
      <c r="I1117" s="8">
        <v>118</v>
      </c>
      <c r="J1117" s="8"/>
      <c r="K1117" s="8">
        <f>+G1117+H1117+-I1117</f>
        <v>0</v>
      </c>
      <c r="L1117" s="8"/>
      <c r="M1117" s="9">
        <v>5.27</v>
      </c>
      <c r="N1117" s="9">
        <f t="shared" si="105"/>
        <v>0</v>
      </c>
      <c r="O1117" s="9"/>
      <c r="P1117" s="9"/>
      <c r="Q1117" s="10" t="s">
        <v>159</v>
      </c>
    </row>
    <row r="1118" spans="1:17" s="11" customFormat="1" ht="40.5" x14ac:dyDescent="0.3">
      <c r="A1118" s="18" t="s">
        <v>2280</v>
      </c>
      <c r="B1118" s="23" t="s">
        <v>1498</v>
      </c>
      <c r="C1118" s="8">
        <v>10</v>
      </c>
      <c r="D1118" s="25" t="s">
        <v>2319</v>
      </c>
      <c r="E1118" s="12" t="s">
        <v>207</v>
      </c>
      <c r="F1118" s="18" t="s">
        <v>1779</v>
      </c>
      <c r="G1118" s="8">
        <f>90-7-6</f>
        <v>77</v>
      </c>
      <c r="H1118" s="8"/>
      <c r="I1118" s="8">
        <f>30+12+4+14+17</f>
        <v>77</v>
      </c>
      <c r="J1118" s="8"/>
      <c r="K1118" s="8">
        <f>+G1118+H1118+-I1118</f>
        <v>0</v>
      </c>
      <c r="L1118" s="8"/>
      <c r="M1118" s="9">
        <v>1.08</v>
      </c>
      <c r="N1118" s="9">
        <f t="shared" si="105"/>
        <v>0</v>
      </c>
      <c r="O1118" s="9"/>
      <c r="P1118" s="9"/>
      <c r="Q1118" s="10" t="s">
        <v>159</v>
      </c>
    </row>
    <row r="1119" spans="1:17" s="11" customFormat="1" ht="40.5" x14ac:dyDescent="0.3">
      <c r="A1119" s="18" t="s">
        <v>2281</v>
      </c>
      <c r="B1119" s="23" t="s">
        <v>1498</v>
      </c>
      <c r="C1119" s="8">
        <v>10</v>
      </c>
      <c r="D1119" s="25" t="s">
        <v>2319</v>
      </c>
      <c r="E1119" s="12" t="s">
        <v>206</v>
      </c>
      <c r="F1119" s="18" t="s">
        <v>1779</v>
      </c>
      <c r="G1119" s="8">
        <f>45-16</f>
        <v>29</v>
      </c>
      <c r="H1119" s="8"/>
      <c r="I1119" s="8">
        <f>10+12+4</f>
        <v>26</v>
      </c>
      <c r="J1119" s="8"/>
      <c r="K1119" s="8">
        <f>+G1119+H1119+-I1119</f>
        <v>3</v>
      </c>
      <c r="L1119" s="8"/>
      <c r="M1119" s="9">
        <v>1.06</v>
      </c>
      <c r="N1119" s="9">
        <f t="shared" si="105"/>
        <v>3.18</v>
      </c>
      <c r="O1119" s="9"/>
      <c r="P1119" s="9"/>
      <c r="Q1119" s="10" t="s">
        <v>159</v>
      </c>
    </row>
    <row r="1120" spans="1:17" s="11" customFormat="1" ht="40.5" x14ac:dyDescent="0.3">
      <c r="A1120" s="18" t="s">
        <v>2282</v>
      </c>
      <c r="B1120" s="23">
        <v>45811</v>
      </c>
      <c r="C1120" s="8">
        <v>30</v>
      </c>
      <c r="D1120" s="25" t="s">
        <v>2319</v>
      </c>
      <c r="E1120" s="12" t="s">
        <v>2166</v>
      </c>
      <c r="F1120" s="18" t="s">
        <v>1779</v>
      </c>
      <c r="G1120" s="8"/>
      <c r="H1120" s="8">
        <v>1000</v>
      </c>
      <c r="I1120" s="8">
        <f>9+30</f>
        <v>39</v>
      </c>
      <c r="J1120" s="8"/>
      <c r="K1120" s="8">
        <f t="shared" ref="K1120:K1125" si="106">+G1120+H1120-I1120+J1120</f>
        <v>961</v>
      </c>
      <c r="L1120" s="8"/>
      <c r="M1120" s="9">
        <v>2.173</v>
      </c>
      <c r="N1120" s="9">
        <f t="shared" si="105"/>
        <v>2088.2530000000002</v>
      </c>
      <c r="O1120" s="9"/>
      <c r="P1120" s="9"/>
      <c r="Q1120" s="10" t="s">
        <v>159</v>
      </c>
    </row>
    <row r="1121" spans="1:17" s="11" customFormat="1" ht="40.5" x14ac:dyDescent="0.3">
      <c r="A1121" s="18" t="s">
        <v>2283</v>
      </c>
      <c r="B1121" s="19">
        <v>45814</v>
      </c>
      <c r="C1121" s="20">
        <v>30</v>
      </c>
      <c r="D1121" s="53" t="s">
        <v>2319</v>
      </c>
      <c r="E1121" s="12" t="s">
        <v>2459</v>
      </c>
      <c r="F1121" s="18" t="s">
        <v>1779</v>
      </c>
      <c r="G1121" s="8"/>
      <c r="H1121" s="8">
        <v>1000</v>
      </c>
      <c r="I1121" s="8"/>
      <c r="J1121" s="8"/>
      <c r="K1121" s="8">
        <f t="shared" si="106"/>
        <v>1000</v>
      </c>
      <c r="L1121" s="8"/>
      <c r="M1121" s="9">
        <v>2</v>
      </c>
      <c r="N1121" s="9">
        <f t="shared" si="105"/>
        <v>2000</v>
      </c>
      <c r="O1121" s="9"/>
      <c r="P1121" s="9"/>
      <c r="Q1121" s="10" t="s">
        <v>25</v>
      </c>
    </row>
    <row r="1122" spans="1:17" s="11" customFormat="1" ht="40.5" x14ac:dyDescent="0.3">
      <c r="A1122" s="18" t="s">
        <v>2284</v>
      </c>
      <c r="B1122" s="19">
        <v>45783</v>
      </c>
      <c r="C1122" s="20">
        <v>30</v>
      </c>
      <c r="D1122" s="53" t="s">
        <v>2319</v>
      </c>
      <c r="E1122" s="12" t="s">
        <v>2418</v>
      </c>
      <c r="F1122" s="21" t="s">
        <v>1779</v>
      </c>
      <c r="G1122" s="8"/>
      <c r="H1122" s="8">
        <v>1000</v>
      </c>
      <c r="I1122" s="8"/>
      <c r="J1122" s="8"/>
      <c r="K1122" s="8">
        <f t="shared" si="106"/>
        <v>1000</v>
      </c>
      <c r="L1122" s="8"/>
      <c r="M1122" s="9">
        <v>0.99946000000000002</v>
      </c>
      <c r="N1122" s="9">
        <f t="shared" si="105"/>
        <v>999.46</v>
      </c>
      <c r="O1122" s="9"/>
      <c r="P1122" s="9"/>
      <c r="Q1122" s="10" t="s">
        <v>159</v>
      </c>
    </row>
    <row r="1123" spans="1:17" s="11" customFormat="1" ht="40.5" x14ac:dyDescent="0.3">
      <c r="A1123" s="18" t="s">
        <v>2285</v>
      </c>
      <c r="B1123" s="23">
        <v>45814</v>
      </c>
      <c r="C1123" s="8">
        <v>30</v>
      </c>
      <c r="D1123" s="25" t="s">
        <v>2319</v>
      </c>
      <c r="E1123" s="12" t="s">
        <v>2458</v>
      </c>
      <c r="F1123" s="18" t="s">
        <v>1779</v>
      </c>
      <c r="G1123" s="8"/>
      <c r="H1123" s="8">
        <v>1000</v>
      </c>
      <c r="I1123" s="8"/>
      <c r="J1123" s="8"/>
      <c r="K1123" s="8">
        <f t="shared" si="106"/>
        <v>1000</v>
      </c>
      <c r="L1123" s="8"/>
      <c r="M1123" s="9">
        <v>1.0860000000000001</v>
      </c>
      <c r="N1123" s="9">
        <f t="shared" si="105"/>
        <v>1086</v>
      </c>
      <c r="O1123" s="9"/>
      <c r="P1123" s="9"/>
      <c r="Q1123" s="10" t="s">
        <v>159</v>
      </c>
    </row>
    <row r="1124" spans="1:17" s="11" customFormat="1" ht="20.25" customHeight="1" x14ac:dyDescent="0.3">
      <c r="A1124" s="18" t="s">
        <v>2286</v>
      </c>
      <c r="B1124" s="19">
        <v>45783</v>
      </c>
      <c r="C1124" s="20">
        <v>30</v>
      </c>
      <c r="D1124" s="53" t="s">
        <v>2319</v>
      </c>
      <c r="E1124" s="12" t="s">
        <v>2417</v>
      </c>
      <c r="F1124" s="21" t="s">
        <v>1779</v>
      </c>
      <c r="G1124" s="8"/>
      <c r="H1124" s="8">
        <v>1000</v>
      </c>
      <c r="I1124" s="8"/>
      <c r="J1124" s="8"/>
      <c r="K1124" s="8">
        <f t="shared" si="106"/>
        <v>1000</v>
      </c>
      <c r="L1124" s="8"/>
      <c r="M1124" s="9">
        <v>1.4985999999999999</v>
      </c>
      <c r="N1124" s="9">
        <f t="shared" si="105"/>
        <v>1498.6</v>
      </c>
      <c r="O1124" s="9"/>
      <c r="P1124" s="9"/>
      <c r="Q1124" s="10" t="s">
        <v>159</v>
      </c>
    </row>
    <row r="1125" spans="1:17" s="11" customFormat="1" ht="40.5" x14ac:dyDescent="0.3">
      <c r="A1125" s="18" t="s">
        <v>2287</v>
      </c>
      <c r="B1125" s="23">
        <v>45811</v>
      </c>
      <c r="C1125" s="8">
        <v>30</v>
      </c>
      <c r="D1125" s="25" t="s">
        <v>2319</v>
      </c>
      <c r="E1125" s="12" t="s">
        <v>2165</v>
      </c>
      <c r="F1125" s="18" t="s">
        <v>1779</v>
      </c>
      <c r="G1125" s="8"/>
      <c r="H1125" s="8">
        <v>1000</v>
      </c>
      <c r="I1125" s="8"/>
      <c r="J1125" s="8"/>
      <c r="K1125" s="8">
        <f t="shared" si="106"/>
        <v>1000</v>
      </c>
      <c r="L1125" s="8"/>
      <c r="M1125" s="9">
        <v>1.9550000000000001</v>
      </c>
      <c r="N1125" s="9">
        <f t="shared" si="105"/>
        <v>1955</v>
      </c>
      <c r="O1125" s="9"/>
      <c r="P1125" s="9"/>
      <c r="Q1125" s="10" t="s">
        <v>159</v>
      </c>
    </row>
    <row r="1126" spans="1:17" s="11" customFormat="1" ht="40.5" x14ac:dyDescent="0.3">
      <c r="A1126" s="18" t="s">
        <v>2288</v>
      </c>
      <c r="B1126" s="23" t="s">
        <v>1498</v>
      </c>
      <c r="C1126" s="8">
        <v>30</v>
      </c>
      <c r="D1126" s="53" t="s">
        <v>2319</v>
      </c>
      <c r="E1126" s="12" t="s">
        <v>204</v>
      </c>
      <c r="F1126" s="18" t="s">
        <v>1779</v>
      </c>
      <c r="G1126" s="8">
        <v>100</v>
      </c>
      <c r="H1126" s="8"/>
      <c r="I1126" s="8"/>
      <c r="J1126" s="8"/>
      <c r="K1126" s="8">
        <f>+G1126+H1126+-I1126</f>
        <v>100</v>
      </c>
      <c r="L1126" s="8"/>
      <c r="M1126" s="9">
        <v>69</v>
      </c>
      <c r="N1126" s="9">
        <f t="shared" si="105"/>
        <v>6900</v>
      </c>
      <c r="O1126" s="9"/>
      <c r="P1126" s="9"/>
      <c r="Q1126" s="10" t="s">
        <v>159</v>
      </c>
    </row>
    <row r="1127" spans="1:17" s="11" customFormat="1" ht="40.5" x14ac:dyDescent="0.3">
      <c r="A1127" s="18" t="s">
        <v>2295</v>
      </c>
      <c r="B1127" s="19">
        <v>45814</v>
      </c>
      <c r="C1127" s="20">
        <v>30</v>
      </c>
      <c r="D1127" s="53" t="s">
        <v>2322</v>
      </c>
      <c r="E1127" s="12" t="s">
        <v>2194</v>
      </c>
      <c r="F1127" s="18" t="s">
        <v>1779</v>
      </c>
      <c r="G1127" s="8"/>
      <c r="H1127" s="8">
        <v>25</v>
      </c>
      <c r="I1127" s="8"/>
      <c r="J1127" s="8"/>
      <c r="K1127" s="8">
        <f>+G1127+H1127-I1127+J1127</f>
        <v>25</v>
      </c>
      <c r="L1127" s="8"/>
      <c r="M1127" s="9">
        <v>1128.08</v>
      </c>
      <c r="N1127" s="9">
        <f t="shared" si="105"/>
        <v>28202</v>
      </c>
      <c r="O1127" s="9"/>
      <c r="P1127" s="9"/>
      <c r="Q1127" s="10" t="s">
        <v>159</v>
      </c>
    </row>
    <row r="1128" spans="1:17" s="11" customFormat="1" ht="20.25" x14ac:dyDescent="0.3">
      <c r="A1128" s="18" t="s">
        <v>2296</v>
      </c>
      <c r="B1128" s="23" t="s">
        <v>1498</v>
      </c>
      <c r="C1128" s="8"/>
      <c r="D1128" s="25" t="s">
        <v>2320</v>
      </c>
      <c r="E1128" s="12" t="s">
        <v>525</v>
      </c>
      <c r="F1128" s="18" t="s">
        <v>1779</v>
      </c>
      <c r="G1128" s="8">
        <v>10</v>
      </c>
      <c r="H1128" s="8"/>
      <c r="I1128" s="8"/>
      <c r="J1128" s="8"/>
      <c r="K1128" s="8">
        <f>+G1128+H1128+-I1128</f>
        <v>10</v>
      </c>
      <c r="L1128" s="8"/>
      <c r="M1128" s="9">
        <v>44.84</v>
      </c>
      <c r="N1128" s="9">
        <f t="shared" si="105"/>
        <v>448.40000000000003</v>
      </c>
      <c r="O1128" s="9"/>
      <c r="P1128" s="9"/>
      <c r="Q1128" s="10" t="s">
        <v>520</v>
      </c>
    </row>
    <row r="1129" spans="1:17" s="11" customFormat="1" ht="20.25" x14ac:dyDescent="0.3">
      <c r="A1129" s="18" t="s">
        <v>2297</v>
      </c>
      <c r="B1129" s="23" t="s">
        <v>1498</v>
      </c>
      <c r="C1129" s="8"/>
      <c r="D1129" s="25" t="s">
        <v>2394</v>
      </c>
      <c r="E1129" s="12" t="s">
        <v>106</v>
      </c>
      <c r="F1129" s="18" t="s">
        <v>1779</v>
      </c>
      <c r="G1129" s="8">
        <v>2</v>
      </c>
      <c r="H1129" s="8"/>
      <c r="I1129" s="8"/>
      <c r="J1129" s="8"/>
      <c r="K1129" s="8">
        <f>+G1129+H1129-I1129</f>
        <v>2</v>
      </c>
      <c r="L1129" s="8"/>
      <c r="M1129" s="9"/>
      <c r="N1129" s="9">
        <f t="shared" si="105"/>
        <v>0</v>
      </c>
      <c r="O1129" s="9"/>
      <c r="P1129" s="9"/>
      <c r="Q1129" s="10" t="s">
        <v>25</v>
      </c>
    </row>
    <row r="1130" spans="1:17" s="11" customFormat="1" ht="20.25" x14ac:dyDescent="0.3">
      <c r="A1130" s="18" t="s">
        <v>2298</v>
      </c>
      <c r="B1130" s="23" t="s">
        <v>1498</v>
      </c>
      <c r="C1130" s="8"/>
      <c r="D1130" s="25" t="s">
        <v>2326</v>
      </c>
      <c r="E1130" s="12" t="s">
        <v>137</v>
      </c>
      <c r="F1130" s="18" t="s">
        <v>1779</v>
      </c>
      <c r="G1130" s="8">
        <v>0</v>
      </c>
      <c r="H1130" s="8">
        <v>9</v>
      </c>
      <c r="I1130" s="8">
        <v>3</v>
      </c>
      <c r="J1130" s="8"/>
      <c r="K1130" s="8">
        <f>+G1130+H1130-I1130</f>
        <v>6</v>
      </c>
      <c r="L1130" s="8"/>
      <c r="M1130" s="9">
        <v>1177.05</v>
      </c>
      <c r="N1130" s="9">
        <f t="shared" si="105"/>
        <v>7062.2999999999993</v>
      </c>
      <c r="O1130" s="9"/>
      <c r="P1130" s="9"/>
      <c r="Q1130" s="10" t="s">
        <v>1191</v>
      </c>
    </row>
    <row r="1131" spans="1:17" s="11" customFormat="1" ht="20.25" x14ac:dyDescent="0.3">
      <c r="A1131" s="18" t="s">
        <v>2299</v>
      </c>
      <c r="B1131" s="23" t="s">
        <v>1521</v>
      </c>
      <c r="C1131" s="8"/>
      <c r="D1131" s="25" t="s">
        <v>2442</v>
      </c>
      <c r="E1131" s="12" t="s">
        <v>1373</v>
      </c>
      <c r="F1131" s="18" t="s">
        <v>1779</v>
      </c>
      <c r="G1131" s="8">
        <v>4</v>
      </c>
      <c r="H1131" s="8"/>
      <c r="I1131" s="8">
        <v>4</v>
      </c>
      <c r="J1131" s="8"/>
      <c r="K1131" s="8">
        <f t="shared" ref="K1131:K1136" si="107">+G1131+H1131-I1131+J1131</f>
        <v>0</v>
      </c>
      <c r="L1131" s="8"/>
      <c r="M1131" s="9"/>
      <c r="N1131" s="9">
        <f t="shared" si="105"/>
        <v>0</v>
      </c>
      <c r="O1131" s="9"/>
      <c r="P1131" s="9">
        <f>+K1131*O1131</f>
        <v>0</v>
      </c>
      <c r="Q1131" s="10" t="s">
        <v>520</v>
      </c>
    </row>
    <row r="1132" spans="1:17" s="11" customFormat="1" ht="20.25" x14ac:dyDescent="0.3">
      <c r="A1132" s="18" t="s">
        <v>2300</v>
      </c>
      <c r="B1132" s="23" t="s">
        <v>1521</v>
      </c>
      <c r="C1132" s="8"/>
      <c r="D1132" s="25" t="s">
        <v>2442</v>
      </c>
      <c r="E1132" s="12" t="s">
        <v>1374</v>
      </c>
      <c r="F1132" s="18" t="s">
        <v>1779</v>
      </c>
      <c r="G1132" s="8">
        <v>4</v>
      </c>
      <c r="H1132" s="8"/>
      <c r="I1132" s="8">
        <v>4</v>
      </c>
      <c r="J1132" s="8"/>
      <c r="K1132" s="8">
        <f t="shared" si="107"/>
        <v>0</v>
      </c>
      <c r="L1132" s="8"/>
      <c r="M1132" s="9"/>
      <c r="N1132" s="9">
        <f t="shared" si="105"/>
        <v>0</v>
      </c>
      <c r="O1132" s="9"/>
      <c r="P1132" s="9">
        <f>+K1132*O1132</f>
        <v>0</v>
      </c>
      <c r="Q1132" s="10" t="s">
        <v>520</v>
      </c>
    </row>
    <row r="1133" spans="1:17" s="11" customFormat="1" ht="20.25" x14ac:dyDescent="0.3">
      <c r="A1133" s="18" t="s">
        <v>2301</v>
      </c>
      <c r="B1133" s="23" t="s">
        <v>1536</v>
      </c>
      <c r="C1133" s="8"/>
      <c r="D1133" s="25" t="s">
        <v>2442</v>
      </c>
      <c r="E1133" s="12" t="s">
        <v>1370</v>
      </c>
      <c r="F1133" s="18" t="s">
        <v>1779</v>
      </c>
      <c r="G1133" s="8">
        <v>4</v>
      </c>
      <c r="H1133" s="8"/>
      <c r="I1133" s="8">
        <v>4</v>
      </c>
      <c r="J1133" s="8"/>
      <c r="K1133" s="8">
        <f t="shared" si="107"/>
        <v>0</v>
      </c>
      <c r="L1133" s="8"/>
      <c r="M1133" s="9"/>
      <c r="N1133" s="9">
        <f t="shared" si="105"/>
        <v>0</v>
      </c>
      <c r="O1133" s="9"/>
      <c r="P1133" s="9">
        <f>+K1133*O1133</f>
        <v>0</v>
      </c>
      <c r="Q1133" s="10" t="s">
        <v>520</v>
      </c>
    </row>
    <row r="1134" spans="1:17" s="11" customFormat="1" ht="20.25" x14ac:dyDescent="0.3">
      <c r="A1134" s="18" t="s">
        <v>2302</v>
      </c>
      <c r="B1134" s="23" t="s">
        <v>1531</v>
      </c>
      <c r="C1134" s="8"/>
      <c r="D1134" s="25" t="s">
        <v>2442</v>
      </c>
      <c r="E1134" s="12" t="s">
        <v>1372</v>
      </c>
      <c r="F1134" s="18" t="s">
        <v>1779</v>
      </c>
      <c r="G1134" s="8">
        <v>4</v>
      </c>
      <c r="H1134" s="8"/>
      <c r="I1134" s="8">
        <v>4</v>
      </c>
      <c r="J1134" s="8"/>
      <c r="K1134" s="8">
        <f t="shared" si="107"/>
        <v>0</v>
      </c>
      <c r="L1134" s="8"/>
      <c r="M1134" s="9"/>
      <c r="N1134" s="9">
        <f t="shared" si="105"/>
        <v>0</v>
      </c>
      <c r="O1134" s="9"/>
      <c r="P1134" s="9">
        <f>+K1134*O1134</f>
        <v>0</v>
      </c>
      <c r="Q1134" s="10" t="s">
        <v>520</v>
      </c>
    </row>
    <row r="1135" spans="1:17" s="11" customFormat="1" ht="20.25" x14ac:dyDescent="0.3">
      <c r="A1135" s="18" t="s">
        <v>2331</v>
      </c>
      <c r="B1135" s="23" t="s">
        <v>1531</v>
      </c>
      <c r="C1135" s="8"/>
      <c r="D1135" s="25" t="s">
        <v>2442</v>
      </c>
      <c r="E1135" s="12" t="s">
        <v>1371</v>
      </c>
      <c r="F1135" s="18" t="s">
        <v>1779</v>
      </c>
      <c r="G1135" s="8">
        <v>8</v>
      </c>
      <c r="H1135" s="8"/>
      <c r="I1135" s="8">
        <v>8</v>
      </c>
      <c r="J1135" s="8"/>
      <c r="K1135" s="8">
        <f t="shared" si="107"/>
        <v>0</v>
      </c>
      <c r="L1135" s="8"/>
      <c r="M1135" s="9"/>
      <c r="N1135" s="9">
        <f t="shared" si="105"/>
        <v>0</v>
      </c>
      <c r="O1135" s="9"/>
      <c r="P1135" s="9">
        <f>+K1135*O1135</f>
        <v>0</v>
      </c>
      <c r="Q1135" s="10" t="s">
        <v>520</v>
      </c>
    </row>
    <row r="1136" spans="1:17" s="11" customFormat="1" ht="40.5" x14ac:dyDescent="0.3">
      <c r="A1136" s="18" t="s">
        <v>2332</v>
      </c>
      <c r="B1136" s="19" t="s">
        <v>2303</v>
      </c>
      <c r="C1136" s="20"/>
      <c r="D1136" s="25" t="s">
        <v>2321</v>
      </c>
      <c r="E1136" s="12" t="s">
        <v>2375</v>
      </c>
      <c r="F1136" s="18" t="s">
        <v>1779</v>
      </c>
      <c r="G1136" s="8"/>
      <c r="H1136" s="8">
        <v>1</v>
      </c>
      <c r="I1136" s="8"/>
      <c r="J1136" s="8"/>
      <c r="K1136" s="8">
        <f t="shared" si="107"/>
        <v>1</v>
      </c>
      <c r="L1136" s="8"/>
      <c r="M1136" s="9">
        <v>5096.1840000000002</v>
      </c>
      <c r="N1136" s="9">
        <f t="shared" si="105"/>
        <v>5096.1840000000002</v>
      </c>
      <c r="O1136" s="9"/>
      <c r="P1136" s="9"/>
      <c r="Q1136" s="10" t="s">
        <v>25</v>
      </c>
    </row>
    <row r="1137" spans="1:17" s="11" customFormat="1" ht="20.25" x14ac:dyDescent="0.3">
      <c r="A1137" s="18" t="s">
        <v>2333</v>
      </c>
      <c r="B1137" s="23">
        <v>45797</v>
      </c>
      <c r="C1137" s="8"/>
      <c r="D1137" s="25" t="s">
        <v>2466</v>
      </c>
      <c r="E1137" s="12" t="s">
        <v>1828</v>
      </c>
      <c r="F1137" s="18" t="s">
        <v>1779</v>
      </c>
      <c r="G1137" s="8"/>
      <c r="H1137" s="8">
        <v>25</v>
      </c>
      <c r="I1137" s="8"/>
      <c r="J1137" s="8"/>
      <c r="K1137" s="8">
        <f>+G1137+H1137+-I1137</f>
        <v>25</v>
      </c>
      <c r="L1137" s="8"/>
      <c r="M1137" s="9">
        <v>531</v>
      </c>
      <c r="N1137" s="9">
        <f t="shared" si="105"/>
        <v>13275</v>
      </c>
      <c r="O1137" s="9"/>
      <c r="P1137" s="9"/>
      <c r="Q1137" s="10" t="s">
        <v>433</v>
      </c>
    </row>
    <row r="1138" spans="1:17" s="11" customFormat="1" ht="20.25" x14ac:dyDescent="0.3">
      <c r="A1138" s="18" t="s">
        <v>2334</v>
      </c>
      <c r="B1138" s="23">
        <v>45577</v>
      </c>
      <c r="C1138" s="8"/>
      <c r="D1138" s="25" t="s">
        <v>2466</v>
      </c>
      <c r="E1138" s="12" t="s">
        <v>483</v>
      </c>
      <c r="F1138" s="18" t="s">
        <v>1779</v>
      </c>
      <c r="G1138" s="8">
        <v>1</v>
      </c>
      <c r="H1138" s="8"/>
      <c r="I1138" s="8"/>
      <c r="J1138" s="8"/>
      <c r="K1138" s="8">
        <f>+G1138+H1138+-I1138</f>
        <v>1</v>
      </c>
      <c r="L1138" s="8"/>
      <c r="M1138" s="9">
        <v>635</v>
      </c>
      <c r="N1138" s="9">
        <f t="shared" si="105"/>
        <v>635</v>
      </c>
      <c r="O1138" s="9"/>
      <c r="P1138" s="9"/>
      <c r="Q1138" s="10" t="s">
        <v>433</v>
      </c>
    </row>
    <row r="1139" spans="1:17" s="11" customFormat="1" ht="40.5" x14ac:dyDescent="0.3">
      <c r="A1139" s="18" t="s">
        <v>2335</v>
      </c>
      <c r="B1139" s="23" t="s">
        <v>1736</v>
      </c>
      <c r="C1139" s="8"/>
      <c r="D1139" s="25" t="s">
        <v>2440</v>
      </c>
      <c r="E1139" s="12" t="s">
        <v>1738</v>
      </c>
      <c r="F1139" s="18" t="s">
        <v>1779</v>
      </c>
      <c r="G1139" s="8"/>
      <c r="H1139" s="8">
        <v>6</v>
      </c>
      <c r="I1139" s="8">
        <v>6</v>
      </c>
      <c r="J1139" s="8">
        <f>+G1139+H1139-I1139</f>
        <v>0</v>
      </c>
      <c r="K1139" s="8">
        <f>+G1139+H1139-I1139+J1139</f>
        <v>0</v>
      </c>
      <c r="L1139" s="8"/>
      <c r="M1139" s="9"/>
      <c r="N1139" s="9"/>
      <c r="O1139" s="9"/>
      <c r="P1139" s="9"/>
      <c r="Q1139" s="10" t="s">
        <v>1887</v>
      </c>
    </row>
    <row r="1140" spans="1:17" s="11" customFormat="1" ht="40.5" x14ac:dyDescent="0.3">
      <c r="A1140" s="18" t="s">
        <v>2339</v>
      </c>
      <c r="B1140" s="23" t="s">
        <v>1736</v>
      </c>
      <c r="C1140" s="8"/>
      <c r="D1140" s="25" t="s">
        <v>2440</v>
      </c>
      <c r="E1140" s="12" t="s">
        <v>1737</v>
      </c>
      <c r="F1140" s="18" t="s">
        <v>1779</v>
      </c>
      <c r="G1140" s="8"/>
      <c r="H1140" s="8">
        <v>5</v>
      </c>
      <c r="I1140" s="8">
        <v>5</v>
      </c>
      <c r="J1140" s="8">
        <f>+G1140+H1140-I1140</f>
        <v>0</v>
      </c>
      <c r="K1140" s="8">
        <f>+G1140+H1140-I1140+J1140</f>
        <v>0</v>
      </c>
      <c r="L1140" s="8"/>
      <c r="M1140" s="9"/>
      <c r="N1140" s="9"/>
      <c r="O1140" s="9"/>
      <c r="P1140" s="9"/>
      <c r="Q1140" s="10" t="s">
        <v>1887</v>
      </c>
    </row>
    <row r="1141" spans="1:17" s="11" customFormat="1" ht="20.25" x14ac:dyDescent="0.3">
      <c r="A1141" s="18" t="s">
        <v>2340</v>
      </c>
      <c r="B1141" s="23">
        <v>45932</v>
      </c>
      <c r="C1141" s="8"/>
      <c r="D1141" s="25" t="s">
        <v>2394</v>
      </c>
      <c r="E1141" s="12" t="s">
        <v>107</v>
      </c>
      <c r="F1141" s="18" t="s">
        <v>1779</v>
      </c>
      <c r="G1141" s="8">
        <v>8</v>
      </c>
      <c r="H1141" s="8"/>
      <c r="I1141" s="8"/>
      <c r="J1141" s="8"/>
      <c r="K1141" s="8">
        <f>+G1141+H1141-I1141</f>
        <v>8</v>
      </c>
      <c r="L1141" s="8"/>
      <c r="M1141" s="9">
        <v>95</v>
      </c>
      <c r="N1141" s="9">
        <f t="shared" ref="N1141:N1177" si="108">+K1141*M1141</f>
        <v>760</v>
      </c>
      <c r="O1141" s="9"/>
      <c r="P1141" s="9"/>
      <c r="Q1141" s="10" t="s">
        <v>25</v>
      </c>
    </row>
    <row r="1142" spans="1:17" s="11" customFormat="1" ht="20.25" x14ac:dyDescent="0.3">
      <c r="A1142" s="18" t="s">
        <v>2341</v>
      </c>
      <c r="B1142" s="23">
        <v>45799</v>
      </c>
      <c r="C1142" s="8"/>
      <c r="D1142" s="25" t="s">
        <v>2466</v>
      </c>
      <c r="E1142" s="12" t="s">
        <v>1866</v>
      </c>
      <c r="F1142" s="18" t="s">
        <v>1779</v>
      </c>
      <c r="G1142" s="8"/>
      <c r="H1142" s="8">
        <v>18</v>
      </c>
      <c r="I1142" s="8"/>
      <c r="J1142" s="8"/>
      <c r="K1142" s="8">
        <f>+G1142+H1142+-I1142</f>
        <v>18</v>
      </c>
      <c r="L1142" s="8"/>
      <c r="M1142" s="9">
        <v>590</v>
      </c>
      <c r="N1142" s="9">
        <f t="shared" si="108"/>
        <v>10620</v>
      </c>
      <c r="O1142" s="9"/>
      <c r="P1142" s="9"/>
      <c r="Q1142" s="10" t="s">
        <v>433</v>
      </c>
    </row>
    <row r="1143" spans="1:17" s="11" customFormat="1" ht="20.25" x14ac:dyDescent="0.3">
      <c r="A1143" s="18" t="s">
        <v>2342</v>
      </c>
      <c r="B1143" s="19" t="s">
        <v>2337</v>
      </c>
      <c r="C1143" s="20"/>
      <c r="D1143" s="25" t="s">
        <v>2394</v>
      </c>
      <c r="E1143" s="12" t="s">
        <v>2345</v>
      </c>
      <c r="F1143" s="18" t="s">
        <v>1779</v>
      </c>
      <c r="G1143" s="8"/>
      <c r="H1143" s="8">
        <v>38</v>
      </c>
      <c r="I1143" s="8"/>
      <c r="J1143" s="8"/>
      <c r="K1143" s="8">
        <f>+G1143+H1143-I1143+J1143</f>
        <v>38</v>
      </c>
      <c r="L1143" s="8"/>
      <c r="M1143" s="9">
        <v>92.78</v>
      </c>
      <c r="N1143" s="9">
        <f t="shared" si="108"/>
        <v>3525.64</v>
      </c>
      <c r="O1143" s="9"/>
      <c r="P1143" s="9"/>
      <c r="Q1143" s="10" t="s">
        <v>25</v>
      </c>
    </row>
    <row r="1144" spans="1:17" s="11" customFormat="1" ht="20.25" x14ac:dyDescent="0.3">
      <c r="A1144" s="18" t="s">
        <v>2346</v>
      </c>
      <c r="B1144" s="23">
        <v>45019</v>
      </c>
      <c r="C1144" s="8"/>
      <c r="D1144" s="25" t="s">
        <v>2394</v>
      </c>
      <c r="E1144" s="12" t="s">
        <v>1569</v>
      </c>
      <c r="F1144" s="18" t="s">
        <v>1779</v>
      </c>
      <c r="G1144" s="8">
        <v>28</v>
      </c>
      <c r="H1144" s="8"/>
      <c r="I1144" s="8"/>
      <c r="J1144" s="8"/>
      <c r="K1144" s="8">
        <f>+G1144+H1144-I1144</f>
        <v>28</v>
      </c>
      <c r="L1144" s="8"/>
      <c r="M1144" s="9">
        <v>696</v>
      </c>
      <c r="N1144" s="9">
        <f t="shared" si="108"/>
        <v>19488</v>
      </c>
      <c r="O1144" s="9"/>
      <c r="P1144" s="9"/>
      <c r="Q1144" s="10" t="s">
        <v>25</v>
      </c>
    </row>
    <row r="1145" spans="1:17" s="11" customFormat="1" ht="20.25" x14ac:dyDescent="0.3">
      <c r="A1145" s="18" t="s">
        <v>2347</v>
      </c>
      <c r="B1145" s="23" t="s">
        <v>1498</v>
      </c>
      <c r="C1145" s="8"/>
      <c r="D1145" s="25" t="s">
        <v>2394</v>
      </c>
      <c r="E1145" s="12" t="s">
        <v>1619</v>
      </c>
      <c r="F1145" s="18" t="s">
        <v>1779</v>
      </c>
      <c r="G1145" s="8">
        <v>123</v>
      </c>
      <c r="H1145" s="8"/>
      <c r="I1145" s="8">
        <f>1+2+1</f>
        <v>4</v>
      </c>
      <c r="J1145" s="8"/>
      <c r="K1145" s="8">
        <f>+G1145+H1145-I1145</f>
        <v>119</v>
      </c>
      <c r="L1145" s="8"/>
      <c r="M1145" s="9">
        <v>600</v>
      </c>
      <c r="N1145" s="9">
        <f t="shared" si="108"/>
        <v>71400</v>
      </c>
      <c r="O1145" s="9"/>
      <c r="P1145" s="9"/>
      <c r="Q1145" s="10" t="s">
        <v>25</v>
      </c>
    </row>
    <row r="1146" spans="1:17" s="11" customFormat="1" ht="20.25" x14ac:dyDescent="0.3">
      <c r="A1146" s="18" t="s">
        <v>2349</v>
      </c>
      <c r="B1146" s="23">
        <v>45804</v>
      </c>
      <c r="C1146" s="8"/>
      <c r="D1146" s="25" t="s">
        <v>2466</v>
      </c>
      <c r="E1146" s="12" t="s">
        <v>2052</v>
      </c>
      <c r="F1146" s="18" t="s">
        <v>1779</v>
      </c>
      <c r="G1146" s="8"/>
      <c r="H1146" s="8">
        <v>18</v>
      </c>
      <c r="I1146" s="8"/>
      <c r="J1146" s="8"/>
      <c r="K1146" s="8">
        <f t="shared" ref="K1146:K1153" si="109">+G1146+H1146-I1146+J1146</f>
        <v>18</v>
      </c>
      <c r="L1146" s="8"/>
      <c r="M1146" s="9">
        <v>280</v>
      </c>
      <c r="N1146" s="9">
        <f t="shared" si="108"/>
        <v>5040</v>
      </c>
      <c r="O1146" s="9"/>
      <c r="P1146" s="9"/>
      <c r="Q1146" s="10" t="s">
        <v>433</v>
      </c>
    </row>
    <row r="1147" spans="1:17" s="11" customFormat="1" ht="20.25" x14ac:dyDescent="0.3">
      <c r="A1147" s="18" t="s">
        <v>2350</v>
      </c>
      <c r="B1147" s="23">
        <v>45804</v>
      </c>
      <c r="C1147" s="8"/>
      <c r="D1147" s="25" t="s">
        <v>2466</v>
      </c>
      <c r="E1147" s="12" t="s">
        <v>2050</v>
      </c>
      <c r="F1147" s="18" t="s">
        <v>1779</v>
      </c>
      <c r="G1147" s="8"/>
      <c r="H1147" s="8">
        <v>18</v>
      </c>
      <c r="I1147" s="8"/>
      <c r="J1147" s="8"/>
      <c r="K1147" s="8">
        <f t="shared" si="109"/>
        <v>18</v>
      </c>
      <c r="L1147" s="8"/>
      <c r="M1147" s="9">
        <v>94</v>
      </c>
      <c r="N1147" s="9">
        <f t="shared" si="108"/>
        <v>1692</v>
      </c>
      <c r="O1147" s="9"/>
      <c r="P1147" s="9"/>
      <c r="Q1147" s="10" t="s">
        <v>25</v>
      </c>
    </row>
    <row r="1148" spans="1:17" s="11" customFormat="1" ht="20.25" x14ac:dyDescent="0.3">
      <c r="A1148" s="18" t="s">
        <v>2351</v>
      </c>
      <c r="B1148" s="23">
        <v>45804</v>
      </c>
      <c r="C1148" s="8"/>
      <c r="D1148" s="25" t="s">
        <v>2466</v>
      </c>
      <c r="E1148" s="12" t="s">
        <v>2051</v>
      </c>
      <c r="F1148" s="18" t="s">
        <v>1779</v>
      </c>
      <c r="G1148" s="8"/>
      <c r="H1148" s="8">
        <v>18</v>
      </c>
      <c r="I1148" s="8"/>
      <c r="J1148" s="8"/>
      <c r="K1148" s="8">
        <f t="shared" si="109"/>
        <v>18</v>
      </c>
      <c r="L1148" s="8"/>
      <c r="M1148" s="9">
        <v>119</v>
      </c>
      <c r="N1148" s="9">
        <f t="shared" si="108"/>
        <v>2142</v>
      </c>
      <c r="O1148" s="9"/>
      <c r="P1148" s="9"/>
      <c r="Q1148" s="10" t="s">
        <v>25</v>
      </c>
    </row>
    <row r="1149" spans="1:17" s="11" customFormat="1" ht="20.25" x14ac:dyDescent="0.3">
      <c r="A1149" s="18" t="s">
        <v>2352</v>
      </c>
      <c r="B1149" s="23">
        <v>45653</v>
      </c>
      <c r="C1149" s="8"/>
      <c r="D1149" s="25" t="s">
        <v>2466</v>
      </c>
      <c r="E1149" s="12" t="s">
        <v>1514</v>
      </c>
      <c r="F1149" s="18" t="s">
        <v>1779</v>
      </c>
      <c r="G1149" s="8"/>
      <c r="H1149" s="8">
        <v>5</v>
      </c>
      <c r="I1149" s="8"/>
      <c r="J1149" s="8"/>
      <c r="K1149" s="8">
        <f t="shared" si="109"/>
        <v>5</v>
      </c>
      <c r="L1149" s="8"/>
      <c r="M1149" s="9">
        <v>1800.5029999999999</v>
      </c>
      <c r="N1149" s="9">
        <f t="shared" si="108"/>
        <v>9002.5149999999994</v>
      </c>
      <c r="O1149" s="9"/>
      <c r="P1149" s="9"/>
      <c r="Q1149" s="10" t="s">
        <v>433</v>
      </c>
    </row>
    <row r="1150" spans="1:17" s="11" customFormat="1" ht="20.25" x14ac:dyDescent="0.3">
      <c r="A1150" s="18" t="s">
        <v>2353</v>
      </c>
      <c r="B1150" s="23">
        <v>45804</v>
      </c>
      <c r="C1150" s="8"/>
      <c r="D1150" s="25" t="s">
        <v>2466</v>
      </c>
      <c r="E1150" s="12" t="s">
        <v>2056</v>
      </c>
      <c r="F1150" s="18" t="s">
        <v>1779</v>
      </c>
      <c r="G1150" s="8"/>
      <c r="H1150" s="8">
        <v>30</v>
      </c>
      <c r="I1150" s="8"/>
      <c r="J1150" s="8"/>
      <c r="K1150" s="8">
        <f t="shared" si="109"/>
        <v>30</v>
      </c>
      <c r="L1150" s="8"/>
      <c r="M1150" s="9">
        <v>391</v>
      </c>
      <c r="N1150" s="9">
        <f t="shared" si="108"/>
        <v>11730</v>
      </c>
      <c r="O1150" s="9"/>
      <c r="P1150" s="9"/>
      <c r="Q1150" s="10" t="s">
        <v>433</v>
      </c>
    </row>
    <row r="1151" spans="1:17" s="11" customFormat="1" ht="20.25" x14ac:dyDescent="0.3">
      <c r="A1151" s="18" t="s">
        <v>2354</v>
      </c>
      <c r="B1151" s="23">
        <v>45804</v>
      </c>
      <c r="C1151" s="8"/>
      <c r="D1151" s="25" t="s">
        <v>2466</v>
      </c>
      <c r="E1151" s="12" t="s">
        <v>2053</v>
      </c>
      <c r="F1151" s="18" t="s">
        <v>1779</v>
      </c>
      <c r="G1151" s="8"/>
      <c r="H1151" s="8">
        <v>37</v>
      </c>
      <c r="I1151" s="8"/>
      <c r="J1151" s="8"/>
      <c r="K1151" s="8">
        <f t="shared" si="109"/>
        <v>37</v>
      </c>
      <c r="L1151" s="8"/>
      <c r="M1151" s="9">
        <v>199</v>
      </c>
      <c r="N1151" s="9">
        <f t="shared" si="108"/>
        <v>7363</v>
      </c>
      <c r="O1151" s="9"/>
      <c r="P1151" s="9"/>
      <c r="Q1151" s="10" t="s">
        <v>433</v>
      </c>
    </row>
    <row r="1152" spans="1:17" s="11" customFormat="1" ht="20.25" x14ac:dyDescent="0.3">
      <c r="A1152" s="18" t="s">
        <v>2355</v>
      </c>
      <c r="B1152" s="23">
        <v>45804</v>
      </c>
      <c r="C1152" s="8"/>
      <c r="D1152" s="25" t="s">
        <v>2466</v>
      </c>
      <c r="E1152" s="12" t="s">
        <v>2054</v>
      </c>
      <c r="F1152" s="18" t="s">
        <v>1779</v>
      </c>
      <c r="G1152" s="8"/>
      <c r="H1152" s="8">
        <v>12</v>
      </c>
      <c r="I1152" s="8"/>
      <c r="J1152" s="8"/>
      <c r="K1152" s="8">
        <f t="shared" si="109"/>
        <v>12</v>
      </c>
      <c r="L1152" s="8"/>
      <c r="M1152" s="9">
        <v>863</v>
      </c>
      <c r="N1152" s="9">
        <f t="shared" si="108"/>
        <v>10356</v>
      </c>
      <c r="O1152" s="9"/>
      <c r="P1152" s="9"/>
      <c r="Q1152" s="10" t="s">
        <v>433</v>
      </c>
    </row>
    <row r="1153" spans="1:17" s="11" customFormat="1" ht="20.25" x14ac:dyDescent="0.3">
      <c r="A1153" s="18" t="s">
        <v>2356</v>
      </c>
      <c r="B1153" s="23">
        <v>45804</v>
      </c>
      <c r="C1153" s="8"/>
      <c r="D1153" s="25" t="s">
        <v>2466</v>
      </c>
      <c r="E1153" s="12" t="s">
        <v>2055</v>
      </c>
      <c r="F1153" s="18" t="s">
        <v>1779</v>
      </c>
      <c r="G1153" s="8"/>
      <c r="H1153" s="8">
        <v>37</v>
      </c>
      <c r="I1153" s="8"/>
      <c r="J1153" s="8"/>
      <c r="K1153" s="8">
        <f t="shared" si="109"/>
        <v>37</v>
      </c>
      <c r="L1153" s="8"/>
      <c r="M1153" s="9">
        <v>266</v>
      </c>
      <c r="N1153" s="9">
        <f t="shared" si="108"/>
        <v>9842</v>
      </c>
      <c r="O1153" s="9"/>
      <c r="P1153" s="9"/>
      <c r="Q1153" s="10" t="s">
        <v>433</v>
      </c>
    </row>
    <row r="1154" spans="1:17" s="11" customFormat="1" ht="40.5" x14ac:dyDescent="0.3">
      <c r="A1154" s="18" t="s">
        <v>2357</v>
      </c>
      <c r="B1154" s="23"/>
      <c r="C1154" s="8"/>
      <c r="D1154" s="25" t="s">
        <v>2319</v>
      </c>
      <c r="E1154" s="12" t="s">
        <v>205</v>
      </c>
      <c r="F1154" s="18" t="s">
        <v>1779</v>
      </c>
      <c r="G1154" s="8">
        <v>100</v>
      </c>
      <c r="H1154" s="8"/>
      <c r="I1154" s="8">
        <v>10</v>
      </c>
      <c r="J1154" s="8"/>
      <c r="K1154" s="8">
        <f t="shared" ref="K1154:K1169" si="110">+G1154+H1154+-I1154</f>
        <v>90</v>
      </c>
      <c r="L1154" s="8"/>
      <c r="M1154" s="9">
        <v>47.2</v>
      </c>
      <c r="N1154" s="9">
        <f t="shared" si="108"/>
        <v>4248</v>
      </c>
      <c r="O1154" s="9"/>
      <c r="P1154" s="9"/>
      <c r="Q1154" s="10" t="s">
        <v>159</v>
      </c>
    </row>
    <row r="1155" spans="1:17" s="11" customFormat="1" ht="20.25" x14ac:dyDescent="0.3">
      <c r="A1155" s="18" t="s">
        <v>2358</v>
      </c>
      <c r="B1155" s="23"/>
      <c r="C1155" s="8"/>
      <c r="D1155" s="25" t="s">
        <v>2442</v>
      </c>
      <c r="E1155" s="12" t="s">
        <v>526</v>
      </c>
      <c r="F1155" s="18" t="s">
        <v>1779</v>
      </c>
      <c r="G1155" s="8">
        <v>2</v>
      </c>
      <c r="H1155" s="8"/>
      <c r="I1155" s="8"/>
      <c r="J1155" s="8"/>
      <c r="K1155" s="8">
        <f t="shared" si="110"/>
        <v>2</v>
      </c>
      <c r="L1155" s="8"/>
      <c r="M1155" s="9">
        <v>680</v>
      </c>
      <c r="N1155" s="9">
        <f t="shared" si="108"/>
        <v>1360</v>
      </c>
      <c r="O1155" s="9"/>
      <c r="P1155" s="9"/>
      <c r="Q1155" s="10" t="s">
        <v>520</v>
      </c>
    </row>
    <row r="1156" spans="1:17" s="11" customFormat="1" ht="20.25" x14ac:dyDescent="0.3">
      <c r="A1156" s="18" t="s">
        <v>2359</v>
      </c>
      <c r="B1156" s="23" t="s">
        <v>1581</v>
      </c>
      <c r="C1156" s="8"/>
      <c r="D1156" s="25" t="s">
        <v>2321</v>
      </c>
      <c r="E1156" s="12" t="s">
        <v>444</v>
      </c>
      <c r="F1156" s="18" t="s">
        <v>1779</v>
      </c>
      <c r="G1156" s="8">
        <v>1</v>
      </c>
      <c r="H1156" s="8"/>
      <c r="I1156" s="8"/>
      <c r="J1156" s="8"/>
      <c r="K1156" s="8">
        <f t="shared" si="110"/>
        <v>1</v>
      </c>
      <c r="L1156" s="8"/>
      <c r="M1156" s="9">
        <v>30</v>
      </c>
      <c r="N1156" s="9">
        <f t="shared" si="108"/>
        <v>30</v>
      </c>
      <c r="O1156" s="9"/>
      <c r="P1156" s="9"/>
      <c r="Q1156" s="10" t="s">
        <v>433</v>
      </c>
    </row>
    <row r="1157" spans="1:17" s="11" customFormat="1" ht="20.25" x14ac:dyDescent="0.3">
      <c r="A1157" s="18" t="s">
        <v>2360</v>
      </c>
      <c r="B1157" s="23" t="s">
        <v>1589</v>
      </c>
      <c r="C1157" s="8"/>
      <c r="D1157" s="25" t="s">
        <v>2321</v>
      </c>
      <c r="E1157" s="12" t="s">
        <v>484</v>
      </c>
      <c r="F1157" s="18" t="s">
        <v>1779</v>
      </c>
      <c r="G1157" s="8">
        <f>67+9</f>
        <v>76</v>
      </c>
      <c r="H1157" s="8"/>
      <c r="I1157" s="8"/>
      <c r="J1157" s="8"/>
      <c r="K1157" s="8">
        <f t="shared" si="110"/>
        <v>76</v>
      </c>
      <c r="L1157" s="8"/>
      <c r="M1157" s="9">
        <v>29.16</v>
      </c>
      <c r="N1157" s="9">
        <f t="shared" si="108"/>
        <v>2216.16</v>
      </c>
      <c r="O1157" s="9"/>
      <c r="P1157" s="9"/>
      <c r="Q1157" s="10" t="s">
        <v>433</v>
      </c>
    </row>
    <row r="1158" spans="1:17" s="11" customFormat="1" ht="20.25" x14ac:dyDescent="0.3">
      <c r="A1158" s="18" t="s">
        <v>2361</v>
      </c>
      <c r="B1158" s="23" t="s">
        <v>1589</v>
      </c>
      <c r="C1158" s="8"/>
      <c r="D1158" s="25" t="s">
        <v>2321</v>
      </c>
      <c r="E1158" s="12" t="s">
        <v>485</v>
      </c>
      <c r="F1158" s="18" t="s">
        <v>1779</v>
      </c>
      <c r="G1158" s="8">
        <v>10</v>
      </c>
      <c r="H1158" s="8"/>
      <c r="I1158" s="8">
        <f>1+1</f>
        <v>2</v>
      </c>
      <c r="J1158" s="8"/>
      <c r="K1158" s="8">
        <f t="shared" si="110"/>
        <v>8</v>
      </c>
      <c r="L1158" s="8"/>
      <c r="M1158" s="9">
        <v>60</v>
      </c>
      <c r="N1158" s="9">
        <f t="shared" si="108"/>
        <v>480</v>
      </c>
      <c r="O1158" s="9"/>
      <c r="P1158" s="9"/>
      <c r="Q1158" s="10" t="s">
        <v>433</v>
      </c>
    </row>
    <row r="1159" spans="1:17" s="11" customFormat="1" ht="20.25" x14ac:dyDescent="0.3">
      <c r="A1159" s="18" t="s">
        <v>2362</v>
      </c>
      <c r="B1159" s="23" t="s">
        <v>1589</v>
      </c>
      <c r="C1159" s="8"/>
      <c r="D1159" s="25" t="s">
        <v>2321</v>
      </c>
      <c r="E1159" s="12" t="s">
        <v>486</v>
      </c>
      <c r="F1159" s="18" t="s">
        <v>1779</v>
      </c>
      <c r="G1159" s="8">
        <v>0</v>
      </c>
      <c r="H1159" s="8"/>
      <c r="I1159" s="8"/>
      <c r="J1159" s="8"/>
      <c r="K1159" s="8">
        <f t="shared" si="110"/>
        <v>0</v>
      </c>
      <c r="L1159" s="8"/>
      <c r="M1159" s="9">
        <v>129</v>
      </c>
      <c r="N1159" s="9">
        <f t="shared" si="108"/>
        <v>0</v>
      </c>
      <c r="O1159" s="9"/>
      <c r="P1159" s="9"/>
      <c r="Q1159" s="10" t="s">
        <v>433</v>
      </c>
    </row>
    <row r="1160" spans="1:17" s="11" customFormat="1" ht="20.25" x14ac:dyDescent="0.3">
      <c r="A1160" s="18" t="s">
        <v>2363</v>
      </c>
      <c r="B1160" s="23" t="s">
        <v>1589</v>
      </c>
      <c r="C1160" s="8"/>
      <c r="D1160" s="25" t="s">
        <v>2321</v>
      </c>
      <c r="E1160" s="12" t="s">
        <v>487</v>
      </c>
      <c r="F1160" s="18" t="s">
        <v>1779</v>
      </c>
      <c r="G1160" s="8">
        <v>10</v>
      </c>
      <c r="H1160" s="8"/>
      <c r="I1160" s="8"/>
      <c r="J1160" s="8"/>
      <c r="K1160" s="8">
        <f t="shared" si="110"/>
        <v>10</v>
      </c>
      <c r="L1160" s="8"/>
      <c r="M1160" s="9">
        <v>53</v>
      </c>
      <c r="N1160" s="9">
        <f t="shared" si="108"/>
        <v>530</v>
      </c>
      <c r="O1160" s="9"/>
      <c r="P1160" s="9"/>
      <c r="Q1160" s="10" t="s">
        <v>433</v>
      </c>
    </row>
    <row r="1161" spans="1:17" s="11" customFormat="1" ht="20.25" x14ac:dyDescent="0.3">
      <c r="A1161" s="18" t="s">
        <v>2364</v>
      </c>
      <c r="B1161" s="23" t="s">
        <v>1589</v>
      </c>
      <c r="C1161" s="8"/>
      <c r="D1161" s="25" t="s">
        <v>2321</v>
      </c>
      <c r="E1161" s="12" t="s">
        <v>488</v>
      </c>
      <c r="F1161" s="18" t="s">
        <v>1779</v>
      </c>
      <c r="G1161" s="8">
        <v>6</v>
      </c>
      <c r="H1161" s="8"/>
      <c r="I1161" s="8">
        <f>2+1</f>
        <v>3</v>
      </c>
      <c r="J1161" s="8"/>
      <c r="K1161" s="8">
        <f t="shared" si="110"/>
        <v>3</v>
      </c>
      <c r="L1161" s="8"/>
      <c r="M1161" s="9">
        <v>50.11</v>
      </c>
      <c r="N1161" s="9">
        <f t="shared" si="108"/>
        <v>150.32999999999998</v>
      </c>
      <c r="O1161" s="9"/>
      <c r="P1161" s="9"/>
      <c r="Q1161" s="10" t="s">
        <v>433</v>
      </c>
    </row>
    <row r="1162" spans="1:17" s="11" customFormat="1" ht="20.25" x14ac:dyDescent="0.3">
      <c r="A1162" s="18" t="s">
        <v>2365</v>
      </c>
      <c r="B1162" s="23" t="s">
        <v>1589</v>
      </c>
      <c r="C1162" s="8"/>
      <c r="D1162" s="25" t="s">
        <v>2321</v>
      </c>
      <c r="E1162" s="12" t="s">
        <v>1624</v>
      </c>
      <c r="F1162" s="18" t="s">
        <v>1779</v>
      </c>
      <c r="G1162" s="8">
        <v>15</v>
      </c>
      <c r="H1162" s="8"/>
      <c r="I1162" s="8">
        <v>1</v>
      </c>
      <c r="J1162" s="8"/>
      <c r="K1162" s="8">
        <f t="shared" si="110"/>
        <v>14</v>
      </c>
      <c r="L1162" s="8"/>
      <c r="M1162" s="9">
        <v>30</v>
      </c>
      <c r="N1162" s="9">
        <f t="shared" si="108"/>
        <v>420</v>
      </c>
      <c r="O1162" s="9"/>
      <c r="P1162" s="9"/>
      <c r="Q1162" s="10" t="s">
        <v>433</v>
      </c>
    </row>
    <row r="1163" spans="1:17" s="11" customFormat="1" ht="40.5" customHeight="1" x14ac:dyDescent="0.3">
      <c r="A1163" s="18" t="s">
        <v>2366</v>
      </c>
      <c r="B1163" s="23" t="s">
        <v>1589</v>
      </c>
      <c r="C1163" s="8"/>
      <c r="D1163" s="25" t="s">
        <v>2321</v>
      </c>
      <c r="E1163" s="12" t="s">
        <v>443</v>
      </c>
      <c r="F1163" s="18" t="s">
        <v>1779</v>
      </c>
      <c r="G1163" s="8">
        <v>13</v>
      </c>
      <c r="H1163" s="8"/>
      <c r="I1163" s="8"/>
      <c r="J1163" s="8"/>
      <c r="K1163" s="8">
        <f t="shared" si="110"/>
        <v>13</v>
      </c>
      <c r="L1163" s="8"/>
      <c r="M1163" s="9">
        <v>30</v>
      </c>
      <c r="N1163" s="9">
        <f t="shared" si="108"/>
        <v>390</v>
      </c>
      <c r="O1163" s="9"/>
      <c r="P1163" s="9"/>
      <c r="Q1163" s="10" t="s">
        <v>433</v>
      </c>
    </row>
    <row r="1164" spans="1:17" s="11" customFormat="1" ht="40.5" customHeight="1" x14ac:dyDescent="0.3">
      <c r="A1164" s="18" t="s">
        <v>2367</v>
      </c>
      <c r="B1164" s="23" t="s">
        <v>1589</v>
      </c>
      <c r="C1164" s="8"/>
      <c r="D1164" s="25" t="s">
        <v>2321</v>
      </c>
      <c r="E1164" s="12" t="s">
        <v>489</v>
      </c>
      <c r="F1164" s="18" t="s">
        <v>1779</v>
      </c>
      <c r="G1164" s="8">
        <v>2</v>
      </c>
      <c r="H1164" s="8"/>
      <c r="I1164" s="8">
        <v>2</v>
      </c>
      <c r="J1164" s="8"/>
      <c r="K1164" s="8">
        <f t="shared" si="110"/>
        <v>0</v>
      </c>
      <c r="L1164" s="8"/>
      <c r="M1164" s="9">
        <v>89</v>
      </c>
      <c r="N1164" s="9">
        <f t="shared" si="108"/>
        <v>0</v>
      </c>
      <c r="O1164" s="9"/>
      <c r="P1164" s="9"/>
      <c r="Q1164" s="10" t="s">
        <v>433</v>
      </c>
    </row>
    <row r="1165" spans="1:17" s="11" customFormat="1" ht="40.5" customHeight="1" x14ac:dyDescent="0.3">
      <c r="A1165" s="18" t="s">
        <v>2368</v>
      </c>
      <c r="B1165" s="23">
        <v>45840</v>
      </c>
      <c r="C1165" s="8"/>
      <c r="D1165" s="25" t="s">
        <v>2321</v>
      </c>
      <c r="E1165" s="12" t="s">
        <v>442</v>
      </c>
      <c r="F1165" s="18" t="s">
        <v>1779</v>
      </c>
      <c r="G1165" s="8">
        <v>35</v>
      </c>
      <c r="H1165" s="8"/>
      <c r="I1165" s="8"/>
      <c r="J1165" s="8"/>
      <c r="K1165" s="8">
        <f t="shared" si="110"/>
        <v>35</v>
      </c>
      <c r="L1165" s="8"/>
      <c r="M1165" s="9">
        <v>30</v>
      </c>
      <c r="N1165" s="9">
        <f t="shared" si="108"/>
        <v>1050</v>
      </c>
      <c r="O1165" s="9"/>
      <c r="P1165" s="9"/>
      <c r="Q1165" s="10" t="s">
        <v>433</v>
      </c>
    </row>
    <row r="1166" spans="1:17" s="11" customFormat="1" ht="20.25" x14ac:dyDescent="0.3">
      <c r="A1166" s="18" t="s">
        <v>2369</v>
      </c>
      <c r="B1166" s="23">
        <v>45840</v>
      </c>
      <c r="C1166" s="8"/>
      <c r="D1166" s="25" t="s">
        <v>2321</v>
      </c>
      <c r="E1166" s="12" t="s">
        <v>442</v>
      </c>
      <c r="F1166" s="18" t="s">
        <v>1779</v>
      </c>
      <c r="G1166" s="8">
        <v>2</v>
      </c>
      <c r="H1166" s="8"/>
      <c r="I1166" s="8">
        <v>2</v>
      </c>
      <c r="J1166" s="8"/>
      <c r="K1166" s="8">
        <f t="shared" si="110"/>
        <v>0</v>
      </c>
      <c r="L1166" s="8"/>
      <c r="M1166" s="9">
        <v>42</v>
      </c>
      <c r="N1166" s="9">
        <f t="shared" si="108"/>
        <v>0</v>
      </c>
      <c r="O1166" s="9"/>
      <c r="P1166" s="9"/>
      <c r="Q1166" s="10" t="s">
        <v>433</v>
      </c>
    </row>
    <row r="1167" spans="1:17" s="11" customFormat="1" ht="40.5" customHeight="1" x14ac:dyDescent="0.3">
      <c r="A1167" s="18" t="s">
        <v>2370</v>
      </c>
      <c r="B1167" s="23">
        <v>45840</v>
      </c>
      <c r="C1167" s="8"/>
      <c r="D1167" s="25" t="s">
        <v>2321</v>
      </c>
      <c r="E1167" s="12" t="s">
        <v>490</v>
      </c>
      <c r="F1167" s="18" t="s">
        <v>1779</v>
      </c>
      <c r="G1167" s="8">
        <v>1</v>
      </c>
      <c r="H1167" s="8"/>
      <c r="I1167" s="8">
        <v>1</v>
      </c>
      <c r="J1167" s="8"/>
      <c r="K1167" s="8">
        <f t="shared" si="110"/>
        <v>0</v>
      </c>
      <c r="L1167" s="8"/>
      <c r="M1167" s="9">
        <v>113</v>
      </c>
      <c r="N1167" s="9">
        <f t="shared" si="108"/>
        <v>0</v>
      </c>
      <c r="O1167" s="9"/>
      <c r="P1167" s="9"/>
      <c r="Q1167" s="10" t="s">
        <v>433</v>
      </c>
    </row>
    <row r="1168" spans="1:17" s="11" customFormat="1" ht="20.25" x14ac:dyDescent="0.3">
      <c r="A1168" s="18" t="s">
        <v>2371</v>
      </c>
      <c r="B1168" s="23">
        <v>45840</v>
      </c>
      <c r="C1168" s="8"/>
      <c r="D1168" s="25" t="s">
        <v>2321</v>
      </c>
      <c r="E1168" s="12" t="s">
        <v>491</v>
      </c>
      <c r="F1168" s="18" t="s">
        <v>1779</v>
      </c>
      <c r="G1168" s="8">
        <v>9</v>
      </c>
      <c r="H1168" s="8"/>
      <c r="I1168" s="8"/>
      <c r="J1168" s="8"/>
      <c r="K1168" s="8">
        <f t="shared" si="110"/>
        <v>9</v>
      </c>
      <c r="L1168" s="8"/>
      <c r="M1168" s="9">
        <v>159</v>
      </c>
      <c r="N1168" s="9">
        <f t="shared" si="108"/>
        <v>1431</v>
      </c>
      <c r="O1168" s="9"/>
      <c r="P1168" s="9"/>
      <c r="Q1168" s="10" t="s">
        <v>433</v>
      </c>
    </row>
    <row r="1169" spans="1:17" s="11" customFormat="1" ht="40.5" x14ac:dyDescent="0.3">
      <c r="A1169" s="18" t="s">
        <v>2456</v>
      </c>
      <c r="B1169" s="23"/>
      <c r="C1169" s="8"/>
      <c r="D1169" s="25" t="s">
        <v>2385</v>
      </c>
      <c r="E1169" s="12" t="s">
        <v>1182</v>
      </c>
      <c r="F1169" s="18" t="s">
        <v>1779</v>
      </c>
      <c r="G1169" s="8">
        <v>14</v>
      </c>
      <c r="H1169" s="8"/>
      <c r="I1169" s="8">
        <v>3</v>
      </c>
      <c r="J1169" s="8"/>
      <c r="K1169" s="8">
        <f t="shared" si="110"/>
        <v>11</v>
      </c>
      <c r="L1169" s="8"/>
      <c r="M1169" s="9">
        <v>59.02</v>
      </c>
      <c r="N1169" s="9">
        <f t="shared" si="108"/>
        <v>649.22</v>
      </c>
      <c r="O1169" s="9"/>
      <c r="P1169" s="9"/>
      <c r="Q1169" s="10" t="s">
        <v>297</v>
      </c>
    </row>
    <row r="1170" spans="1:17" s="11" customFormat="1" ht="20.25" x14ac:dyDescent="0.3">
      <c r="A1170" s="18" t="s">
        <v>2372</v>
      </c>
      <c r="B1170" s="23">
        <v>45789</v>
      </c>
      <c r="C1170" s="8"/>
      <c r="D1170" s="25" t="s">
        <v>2321</v>
      </c>
      <c r="E1170" s="12" t="s">
        <v>2105</v>
      </c>
      <c r="F1170" s="18" t="s">
        <v>1779</v>
      </c>
      <c r="G1170" s="8"/>
      <c r="H1170" s="8">
        <v>1</v>
      </c>
      <c r="I1170" s="8">
        <v>1</v>
      </c>
      <c r="J1170" s="8"/>
      <c r="K1170" s="8">
        <f>+G1170+H1170-I1170+J1170</f>
        <v>0</v>
      </c>
      <c r="L1170" s="8"/>
      <c r="M1170" s="9">
        <v>200.6</v>
      </c>
      <c r="N1170" s="9">
        <f t="shared" si="108"/>
        <v>0</v>
      </c>
      <c r="O1170" s="9"/>
      <c r="P1170" s="9"/>
      <c r="Q1170" s="10" t="s">
        <v>25</v>
      </c>
    </row>
    <row r="1171" spans="1:17" s="11" customFormat="1" ht="20.25" x14ac:dyDescent="0.3">
      <c r="A1171" s="18" t="s">
        <v>2373</v>
      </c>
      <c r="B1171" s="23">
        <v>45789</v>
      </c>
      <c r="C1171" s="8"/>
      <c r="D1171" s="25" t="s">
        <v>2321</v>
      </c>
      <c r="E1171" s="12" t="s">
        <v>2108</v>
      </c>
      <c r="F1171" s="18" t="s">
        <v>1779</v>
      </c>
      <c r="G1171" s="8"/>
      <c r="H1171" s="8">
        <v>2</v>
      </c>
      <c r="I1171" s="8">
        <v>2</v>
      </c>
      <c r="J1171" s="8"/>
      <c r="K1171" s="8">
        <f>+G1171+H1171-I1171+J1171</f>
        <v>0</v>
      </c>
      <c r="L1171" s="8"/>
      <c r="M1171" s="9">
        <v>118</v>
      </c>
      <c r="N1171" s="9">
        <f t="shared" si="108"/>
        <v>0</v>
      </c>
      <c r="O1171" s="9"/>
      <c r="P1171" s="9"/>
      <c r="Q1171" s="10" t="s">
        <v>25</v>
      </c>
    </row>
    <row r="1172" spans="1:17" s="11" customFormat="1" ht="20.25" x14ac:dyDescent="0.3">
      <c r="A1172" s="18" t="s">
        <v>2423</v>
      </c>
      <c r="B1172" s="23">
        <v>45799</v>
      </c>
      <c r="C1172" s="8">
        <v>30</v>
      </c>
      <c r="D1172" s="25" t="s">
        <v>2321</v>
      </c>
      <c r="E1172" s="12" t="s">
        <v>1867</v>
      </c>
      <c r="F1172" s="18" t="s">
        <v>1779</v>
      </c>
      <c r="G1172" s="8"/>
      <c r="H1172" s="8">
        <v>20</v>
      </c>
      <c r="I1172" s="8"/>
      <c r="J1172" s="8"/>
      <c r="K1172" s="8">
        <f>+G1172+H1172+-I1172</f>
        <v>20</v>
      </c>
      <c r="L1172" s="8"/>
      <c r="M1172" s="9">
        <v>384</v>
      </c>
      <c r="N1172" s="9">
        <f t="shared" si="108"/>
        <v>7680</v>
      </c>
      <c r="O1172" s="9"/>
      <c r="P1172" s="9"/>
      <c r="Q1172" s="10" t="s">
        <v>433</v>
      </c>
    </row>
    <row r="1173" spans="1:17" s="11" customFormat="1" ht="20.25" x14ac:dyDescent="0.3">
      <c r="A1173" s="18" t="s">
        <v>2424</v>
      </c>
      <c r="B1173" s="23" t="s">
        <v>1997</v>
      </c>
      <c r="C1173" s="8">
        <v>30</v>
      </c>
      <c r="D1173" s="25" t="s">
        <v>2321</v>
      </c>
      <c r="E1173" s="12" t="s">
        <v>2001</v>
      </c>
      <c r="F1173" s="18" t="s">
        <v>1779</v>
      </c>
      <c r="G1173" s="8"/>
      <c r="H1173" s="8">
        <v>20</v>
      </c>
      <c r="I1173" s="8"/>
      <c r="J1173" s="8"/>
      <c r="K1173" s="8">
        <f t="shared" ref="K1173:K1182" si="111">+G1173+H1173-I1173+J1173</f>
        <v>20</v>
      </c>
      <c r="L1173" s="8"/>
      <c r="M1173" s="9">
        <v>322</v>
      </c>
      <c r="N1173" s="9">
        <f t="shared" si="108"/>
        <v>6440</v>
      </c>
      <c r="O1173" s="9"/>
      <c r="P1173" s="9"/>
      <c r="Q1173" s="10" t="s">
        <v>433</v>
      </c>
    </row>
    <row r="1174" spans="1:17" s="11" customFormat="1" ht="51" customHeight="1" x14ac:dyDescent="0.3">
      <c r="A1174" s="18" t="s">
        <v>2425</v>
      </c>
      <c r="B1174" s="19">
        <v>45820</v>
      </c>
      <c r="C1174" s="20">
        <v>30</v>
      </c>
      <c r="D1174" s="25" t="s">
        <v>2321</v>
      </c>
      <c r="E1174" s="12" t="s">
        <v>2200</v>
      </c>
      <c r="F1174" s="18" t="s">
        <v>1779</v>
      </c>
      <c r="G1174" s="8"/>
      <c r="H1174" s="8">
        <v>20</v>
      </c>
      <c r="I1174" s="8"/>
      <c r="J1174" s="8"/>
      <c r="K1174" s="8">
        <f t="shared" si="111"/>
        <v>20</v>
      </c>
      <c r="L1174" s="8"/>
      <c r="M1174" s="9">
        <v>2404</v>
      </c>
      <c r="N1174" s="9">
        <f t="shared" si="108"/>
        <v>48080</v>
      </c>
      <c r="O1174" s="9"/>
      <c r="P1174" s="9"/>
      <c r="Q1174" s="10" t="s">
        <v>433</v>
      </c>
    </row>
    <row r="1175" spans="1:17" s="11" customFormat="1" ht="51" customHeight="1" x14ac:dyDescent="0.3">
      <c r="A1175" s="18" t="s">
        <v>2426</v>
      </c>
      <c r="B1175" s="23" t="s">
        <v>1997</v>
      </c>
      <c r="C1175" s="8">
        <v>30</v>
      </c>
      <c r="D1175" s="25" t="s">
        <v>2321</v>
      </c>
      <c r="E1175" s="12" t="s">
        <v>2002</v>
      </c>
      <c r="F1175" s="18" t="s">
        <v>1779</v>
      </c>
      <c r="G1175" s="8"/>
      <c r="H1175" s="8">
        <v>20</v>
      </c>
      <c r="I1175" s="8"/>
      <c r="J1175" s="8"/>
      <c r="K1175" s="8">
        <f t="shared" si="111"/>
        <v>20</v>
      </c>
      <c r="L1175" s="8"/>
      <c r="M1175" s="9">
        <v>586</v>
      </c>
      <c r="N1175" s="9">
        <f t="shared" si="108"/>
        <v>11720</v>
      </c>
      <c r="O1175" s="9"/>
      <c r="P1175" s="9"/>
      <c r="Q1175" s="10" t="s">
        <v>433</v>
      </c>
    </row>
    <row r="1176" spans="1:17" s="11" customFormat="1" ht="51" customHeight="1" x14ac:dyDescent="0.3">
      <c r="A1176" s="18" t="s">
        <v>2427</v>
      </c>
      <c r="B1176" s="23" t="s">
        <v>1997</v>
      </c>
      <c r="C1176" s="8">
        <v>30</v>
      </c>
      <c r="D1176" s="25" t="s">
        <v>2321</v>
      </c>
      <c r="E1176" s="12" t="s">
        <v>2000</v>
      </c>
      <c r="F1176" s="18" t="s">
        <v>1779</v>
      </c>
      <c r="G1176" s="8"/>
      <c r="H1176" s="8">
        <v>24</v>
      </c>
      <c r="I1176" s="8"/>
      <c r="J1176" s="8"/>
      <c r="K1176" s="8">
        <f t="shared" si="111"/>
        <v>24</v>
      </c>
      <c r="L1176" s="8"/>
      <c r="M1176" s="9">
        <v>335</v>
      </c>
      <c r="N1176" s="9">
        <f t="shared" si="108"/>
        <v>8040</v>
      </c>
      <c r="O1176" s="9"/>
      <c r="P1176" s="9"/>
      <c r="Q1176" s="10" t="s">
        <v>433</v>
      </c>
    </row>
    <row r="1177" spans="1:17" s="11" customFormat="1" ht="51" customHeight="1" x14ac:dyDescent="0.3">
      <c r="A1177" s="18" t="s">
        <v>2428</v>
      </c>
      <c r="B1177" s="23"/>
      <c r="C1177" s="8"/>
      <c r="D1177" s="25" t="s">
        <v>2319</v>
      </c>
      <c r="E1177" s="12" t="s">
        <v>2167</v>
      </c>
      <c r="F1177" s="18" t="s">
        <v>2168</v>
      </c>
      <c r="G1177" s="8"/>
      <c r="H1177" s="8">
        <v>3</v>
      </c>
      <c r="I1177" s="8"/>
      <c r="J1177" s="8"/>
      <c r="K1177" s="8">
        <f t="shared" si="111"/>
        <v>3</v>
      </c>
      <c r="L1177" s="8"/>
      <c r="M1177" s="9">
        <v>3949</v>
      </c>
      <c r="N1177" s="9">
        <f t="shared" si="108"/>
        <v>11847</v>
      </c>
      <c r="O1177" s="9"/>
      <c r="P1177" s="9"/>
      <c r="Q1177" s="10"/>
    </row>
    <row r="1178" spans="1:17" s="11" customFormat="1" ht="51" customHeight="1" x14ac:dyDescent="0.3">
      <c r="A1178" s="18" t="s">
        <v>2429</v>
      </c>
      <c r="B1178" s="23"/>
      <c r="C1178" s="8"/>
      <c r="D1178" s="25" t="s">
        <v>2460</v>
      </c>
      <c r="E1178" s="12" t="s">
        <v>1660</v>
      </c>
      <c r="F1178" s="18" t="s">
        <v>1780</v>
      </c>
      <c r="G1178" s="8">
        <v>1</v>
      </c>
      <c r="H1178" s="8"/>
      <c r="I1178" s="8"/>
      <c r="J1178" s="8">
        <v>0</v>
      </c>
      <c r="K1178" s="8">
        <f t="shared" si="111"/>
        <v>1</v>
      </c>
      <c r="L1178" s="8"/>
      <c r="M1178" s="9">
        <v>203</v>
      </c>
      <c r="N1178" s="9">
        <f>+L1178*M1178</f>
        <v>0</v>
      </c>
      <c r="O1178" s="9"/>
      <c r="P1178" s="9"/>
      <c r="Q1178" s="10" t="s">
        <v>1887</v>
      </c>
    </row>
    <row r="1179" spans="1:17" s="11" customFormat="1" ht="51" customHeight="1" x14ac:dyDescent="0.3">
      <c r="A1179" s="18" t="s">
        <v>2430</v>
      </c>
      <c r="B1179" s="23" t="s">
        <v>1536</v>
      </c>
      <c r="C1179" s="8"/>
      <c r="D1179" s="24" t="s">
        <v>2387</v>
      </c>
      <c r="E1179" s="12" t="s">
        <v>1494</v>
      </c>
      <c r="F1179" s="18" t="s">
        <v>1779</v>
      </c>
      <c r="G1179" s="8"/>
      <c r="H1179" s="8">
        <v>40</v>
      </c>
      <c r="I1179" s="8">
        <f>1+1+4+1+2+2+2+1+2+3+2+3+4+4+2+2+3+1</f>
        <v>40</v>
      </c>
      <c r="J1179" s="8"/>
      <c r="K1179" s="8">
        <f t="shared" si="111"/>
        <v>0</v>
      </c>
      <c r="L1179" s="8"/>
      <c r="M1179" s="9">
        <v>200.01</v>
      </c>
      <c r="N1179" s="9">
        <f>+K1179*M1179</f>
        <v>0</v>
      </c>
      <c r="O1179" s="9"/>
      <c r="P1179" s="9"/>
      <c r="Q1179" s="10" t="s">
        <v>18</v>
      </c>
    </row>
    <row r="1180" spans="1:17" s="11" customFormat="1" ht="51" customHeight="1" x14ac:dyDescent="0.3">
      <c r="A1180" s="18" t="s">
        <v>2431</v>
      </c>
      <c r="B1180" s="23" t="s">
        <v>1536</v>
      </c>
      <c r="C1180" s="8"/>
      <c r="D1180" s="24" t="s">
        <v>2387</v>
      </c>
      <c r="E1180" s="12" t="s">
        <v>1495</v>
      </c>
      <c r="F1180" s="18" t="s">
        <v>1779</v>
      </c>
      <c r="G1180" s="8"/>
      <c r="H1180" s="8">
        <v>40</v>
      </c>
      <c r="I1180" s="8">
        <f>3+5+1+3+1+1+2+2+2+2+2+2+2+2+1+2+1+1+1+2</f>
        <v>38</v>
      </c>
      <c r="J1180" s="8"/>
      <c r="K1180" s="8">
        <f t="shared" si="111"/>
        <v>2</v>
      </c>
      <c r="L1180" s="8">
        <v>11</v>
      </c>
      <c r="M1180" s="9">
        <v>214.17</v>
      </c>
      <c r="N1180" s="9">
        <f>+K1180*M1180</f>
        <v>428.34</v>
      </c>
      <c r="O1180" s="9"/>
      <c r="P1180" s="9"/>
      <c r="Q1180" s="10" t="s">
        <v>18</v>
      </c>
    </row>
    <row r="1181" spans="1:17" s="11" customFormat="1" ht="51" customHeight="1" x14ac:dyDescent="0.3">
      <c r="A1181" s="18" t="s">
        <v>2432</v>
      </c>
      <c r="B1181" s="23" t="s">
        <v>1536</v>
      </c>
      <c r="C1181" s="8"/>
      <c r="D1181" s="24" t="s">
        <v>2387</v>
      </c>
      <c r="E1181" s="12" t="s">
        <v>1496</v>
      </c>
      <c r="F1181" s="18" t="s">
        <v>1779</v>
      </c>
      <c r="G1181" s="8"/>
      <c r="H1181" s="8">
        <v>75</v>
      </c>
      <c r="I1181" s="8">
        <v>25</v>
      </c>
      <c r="J1181" s="8"/>
      <c r="K1181" s="8">
        <f t="shared" si="111"/>
        <v>50</v>
      </c>
      <c r="L1181" s="8">
        <v>50</v>
      </c>
      <c r="M1181" s="9">
        <v>212.4</v>
      </c>
      <c r="N1181" s="9">
        <f>+K1181*M1181</f>
        <v>10620</v>
      </c>
      <c r="O1181" s="9"/>
      <c r="P1181" s="9"/>
      <c r="Q1181" s="10" t="s">
        <v>18</v>
      </c>
    </row>
    <row r="1182" spans="1:17" s="11" customFormat="1" ht="51" customHeight="1" x14ac:dyDescent="0.3">
      <c r="A1182" s="18" t="s">
        <v>2478</v>
      </c>
      <c r="B1182" s="23"/>
      <c r="C1182" s="8"/>
      <c r="D1182" s="25" t="s">
        <v>2436</v>
      </c>
      <c r="E1182" s="12" t="s">
        <v>2178</v>
      </c>
      <c r="F1182" s="18" t="s">
        <v>1779</v>
      </c>
      <c r="G1182" s="8">
        <v>15</v>
      </c>
      <c r="H1182" s="8"/>
      <c r="I1182" s="8"/>
      <c r="J1182" s="8">
        <v>0</v>
      </c>
      <c r="K1182" s="8">
        <f t="shared" si="111"/>
        <v>15</v>
      </c>
      <c r="L1182" s="8"/>
      <c r="M1182" s="9">
        <v>34.950000000000003</v>
      </c>
      <c r="N1182" s="9">
        <v>524.25</v>
      </c>
      <c r="O1182" s="9"/>
      <c r="P1182" s="9"/>
      <c r="Q1182" s="10" t="s">
        <v>1887</v>
      </c>
    </row>
    <row r="1183" spans="1:17" s="11" customFormat="1" ht="51" customHeight="1" x14ac:dyDescent="0.3">
      <c r="A1183" s="18" t="s">
        <v>2481</v>
      </c>
      <c r="B1183" s="23" t="s">
        <v>1536</v>
      </c>
      <c r="C1183" s="8"/>
      <c r="D1183" s="25" t="s">
        <v>2322</v>
      </c>
      <c r="E1183" s="12" t="s">
        <v>468</v>
      </c>
      <c r="F1183" s="18" t="s">
        <v>1779</v>
      </c>
      <c r="G1183" s="8">
        <v>8</v>
      </c>
      <c r="H1183" s="8"/>
      <c r="I1183" s="8">
        <f>1+1</f>
        <v>2</v>
      </c>
      <c r="J1183" s="8"/>
      <c r="K1183" s="8">
        <f>+G1183+H1183+-I1183</f>
        <v>6</v>
      </c>
      <c r="L1183" s="8">
        <v>5</v>
      </c>
      <c r="M1183" s="9">
        <v>1317.47</v>
      </c>
      <c r="N1183" s="9">
        <f>+K1183*M1183</f>
        <v>7904.82</v>
      </c>
      <c r="O1183" s="9"/>
      <c r="P1183" s="9"/>
      <c r="Q1183" s="10" t="s">
        <v>433</v>
      </c>
    </row>
    <row r="1184" spans="1:17" s="11" customFormat="1" ht="40.5" customHeight="1" x14ac:dyDescent="0.3">
      <c r="A1184" s="18" t="s">
        <v>2482</v>
      </c>
      <c r="B1184" s="19">
        <v>45828</v>
      </c>
      <c r="C1184" s="20"/>
      <c r="D1184" s="53" t="s">
        <v>2320</v>
      </c>
      <c r="E1184" s="12" t="s">
        <v>2211</v>
      </c>
      <c r="F1184" s="21" t="s">
        <v>1779</v>
      </c>
      <c r="G1184" s="8"/>
      <c r="H1184" s="8">
        <v>1</v>
      </c>
      <c r="I1184" s="8">
        <v>1</v>
      </c>
      <c r="J1184" s="8"/>
      <c r="K1184" s="8">
        <f t="shared" ref="K1184:K1189" si="112">+G1184+H1184-I1184+J1184</f>
        <v>0</v>
      </c>
      <c r="L1184" s="8"/>
      <c r="M1184" s="9">
        <v>5825</v>
      </c>
      <c r="N1184" s="9"/>
      <c r="O1184" s="9"/>
      <c r="P1184" s="9"/>
      <c r="Q1184" s="10" t="s">
        <v>520</v>
      </c>
    </row>
    <row r="1185" spans="1:28" s="11" customFormat="1" ht="69" customHeight="1" x14ac:dyDescent="0.3">
      <c r="A1185" s="18" t="s">
        <v>2483</v>
      </c>
      <c r="B1185" s="19">
        <v>45828</v>
      </c>
      <c r="C1185" s="20"/>
      <c r="D1185" s="53" t="s">
        <v>2320</v>
      </c>
      <c r="E1185" s="12" t="s">
        <v>2212</v>
      </c>
      <c r="F1185" s="21" t="s">
        <v>1779</v>
      </c>
      <c r="G1185" s="8"/>
      <c r="H1185" s="8">
        <v>1</v>
      </c>
      <c r="I1185" s="8">
        <v>1</v>
      </c>
      <c r="J1185" s="8"/>
      <c r="K1185" s="8">
        <f t="shared" si="112"/>
        <v>0</v>
      </c>
      <c r="L1185" s="8"/>
      <c r="M1185" s="9">
        <v>5825</v>
      </c>
      <c r="N1185" s="9"/>
      <c r="O1185" s="9"/>
      <c r="P1185" s="9"/>
      <c r="Q1185" s="10" t="s">
        <v>520</v>
      </c>
    </row>
    <row r="1186" spans="1:28" s="11" customFormat="1" ht="51" customHeight="1" x14ac:dyDescent="0.3">
      <c r="A1186" s="18" t="s">
        <v>2484</v>
      </c>
      <c r="B1186" s="19">
        <v>45828</v>
      </c>
      <c r="C1186" s="20"/>
      <c r="D1186" s="53" t="s">
        <v>2320</v>
      </c>
      <c r="E1186" s="12" t="s">
        <v>2209</v>
      </c>
      <c r="F1186" s="21" t="s">
        <v>1779</v>
      </c>
      <c r="G1186" s="8"/>
      <c r="H1186" s="8">
        <v>3</v>
      </c>
      <c r="I1186" s="8">
        <v>3</v>
      </c>
      <c r="J1186" s="8"/>
      <c r="K1186" s="8">
        <f t="shared" si="112"/>
        <v>0</v>
      </c>
      <c r="L1186" s="8"/>
      <c r="M1186" s="9">
        <v>5825</v>
      </c>
      <c r="N1186" s="9"/>
      <c r="O1186" s="9"/>
      <c r="P1186" s="9"/>
      <c r="Q1186" s="10" t="s">
        <v>520</v>
      </c>
    </row>
    <row r="1187" spans="1:28" s="11" customFormat="1" ht="51" customHeight="1" x14ac:dyDescent="0.3">
      <c r="A1187" s="18" t="s">
        <v>2485</v>
      </c>
      <c r="B1187" s="19">
        <v>45828</v>
      </c>
      <c r="C1187" s="20"/>
      <c r="D1187" s="53" t="s">
        <v>2320</v>
      </c>
      <c r="E1187" s="12" t="s">
        <v>2208</v>
      </c>
      <c r="F1187" s="21" t="s">
        <v>1779</v>
      </c>
      <c r="G1187" s="8"/>
      <c r="H1187" s="8">
        <v>3</v>
      </c>
      <c r="I1187" s="8">
        <v>3</v>
      </c>
      <c r="J1187" s="8"/>
      <c r="K1187" s="8">
        <f t="shared" si="112"/>
        <v>0</v>
      </c>
      <c r="L1187" s="8"/>
      <c r="M1187" s="9">
        <v>5825</v>
      </c>
      <c r="N1187" s="9"/>
      <c r="O1187" s="9"/>
      <c r="P1187" s="9"/>
      <c r="Q1187" s="10" t="s">
        <v>520</v>
      </c>
    </row>
    <row r="1188" spans="1:28" s="11" customFormat="1" ht="51" customHeight="1" x14ac:dyDescent="0.3">
      <c r="A1188" s="18" t="s">
        <v>2486</v>
      </c>
      <c r="B1188" s="19">
        <v>45828</v>
      </c>
      <c r="C1188" s="20"/>
      <c r="D1188" s="53" t="s">
        <v>2320</v>
      </c>
      <c r="E1188" s="12" t="s">
        <v>2210</v>
      </c>
      <c r="F1188" s="21" t="s">
        <v>1779</v>
      </c>
      <c r="G1188" s="8"/>
      <c r="H1188" s="8">
        <v>2</v>
      </c>
      <c r="I1188" s="8">
        <v>2</v>
      </c>
      <c r="J1188" s="8"/>
      <c r="K1188" s="8">
        <f t="shared" si="112"/>
        <v>0</v>
      </c>
      <c r="L1188" s="8"/>
      <c r="M1188" s="9">
        <v>5825</v>
      </c>
      <c r="N1188" s="9"/>
      <c r="O1188" s="9"/>
      <c r="P1188" s="9"/>
      <c r="Q1188" s="10" t="s">
        <v>520</v>
      </c>
    </row>
    <row r="1189" spans="1:28" s="11" customFormat="1" ht="51" customHeight="1" x14ac:dyDescent="0.3">
      <c r="A1189" s="18" t="s">
        <v>2487</v>
      </c>
      <c r="B1189" s="23"/>
      <c r="C1189" s="8"/>
      <c r="D1189" s="25" t="s">
        <v>2322</v>
      </c>
      <c r="E1189" s="12" t="s">
        <v>1684</v>
      </c>
      <c r="F1189" s="18" t="s">
        <v>1780</v>
      </c>
      <c r="G1189" s="8">
        <v>1</v>
      </c>
      <c r="H1189" s="8">
        <v>10</v>
      </c>
      <c r="I1189" s="8"/>
      <c r="J1189" s="8">
        <v>0</v>
      </c>
      <c r="K1189" s="8">
        <f t="shared" si="112"/>
        <v>11</v>
      </c>
      <c r="L1189" s="8"/>
      <c r="M1189" s="9">
        <v>1327.5</v>
      </c>
      <c r="N1189" s="9">
        <f>+K1189*M1189</f>
        <v>14602.5</v>
      </c>
      <c r="O1189" s="9"/>
      <c r="P1189" s="9"/>
      <c r="Q1189" s="10" t="s">
        <v>1887</v>
      </c>
    </row>
    <row r="1190" spans="1:28" ht="20.25" x14ac:dyDescent="0.3">
      <c r="A1190" s="4"/>
      <c r="B1190" s="5"/>
      <c r="C1190" s="16"/>
      <c r="D1190" s="26"/>
      <c r="F1190" s="6"/>
      <c r="M1190" s="7"/>
      <c r="N1190" s="7"/>
      <c r="O1190" s="7"/>
      <c r="P1190" s="7"/>
    </row>
    <row r="1191" spans="1:28" ht="22.5" x14ac:dyDescent="0.45">
      <c r="F1191" s="36"/>
      <c r="I1191" s="37"/>
      <c r="J1191" s="37"/>
      <c r="K1191" s="1"/>
      <c r="L1191" s="1"/>
      <c r="M1191" s="38">
        <f>SUM(M6:M1189)</f>
        <v>1583549.2826799988</v>
      </c>
      <c r="N1191" s="38">
        <f t="shared" ref="N1191:P1191" si="113">SUM(N6:N1189)</f>
        <v>6763442.1393999923</v>
      </c>
      <c r="O1191" s="38">
        <f t="shared" si="113"/>
        <v>34500.420000000006</v>
      </c>
      <c r="P1191" s="38">
        <f t="shared" si="113"/>
        <v>404329.44000000012</v>
      </c>
      <c r="Q1191" s="39"/>
      <c r="R1191" s="84"/>
      <c r="S1191" s="84"/>
      <c r="T1191" s="84"/>
      <c r="U1191" s="84"/>
      <c r="V1191" s="84"/>
      <c r="W1191" s="84"/>
      <c r="X1191" s="84"/>
      <c r="Y1191" s="84"/>
      <c r="Z1191" s="84"/>
      <c r="AA1191" s="84"/>
    </row>
    <row r="1192" spans="1:28" ht="20.25" x14ac:dyDescent="0.3">
      <c r="F1192" s="36"/>
      <c r="I1192" s="37"/>
      <c r="J1192" s="37"/>
      <c r="K1192" s="1"/>
      <c r="L1192" s="1"/>
      <c r="M1192" s="1"/>
      <c r="N1192" s="1"/>
      <c r="O1192" s="1"/>
      <c r="P1192" s="1"/>
      <c r="Q1192" s="39"/>
      <c r="R1192" s="84"/>
      <c r="S1192" s="84"/>
      <c r="T1192" s="84"/>
      <c r="U1192" s="84"/>
      <c r="V1192" s="84"/>
      <c r="W1192" s="84"/>
      <c r="X1192" s="84"/>
      <c r="Y1192" s="84"/>
      <c r="Z1192" s="84"/>
      <c r="AA1192" s="84"/>
    </row>
    <row r="1193" spans="1:28" ht="39.950000000000003" customHeight="1" x14ac:dyDescent="0.3">
      <c r="A1193" s="92" t="s">
        <v>2513</v>
      </c>
      <c r="B1193" s="93" t="s">
        <v>2524</v>
      </c>
      <c r="C1193" s="50" t="s">
        <v>1964</v>
      </c>
      <c r="D1193" s="51" t="s">
        <v>1965</v>
      </c>
      <c r="E1193" s="93" t="s">
        <v>2525</v>
      </c>
      <c r="F1193" s="51" t="s">
        <v>1966</v>
      </c>
      <c r="G1193" s="90" t="s">
        <v>2526</v>
      </c>
      <c r="H1193" s="41"/>
      <c r="I1193" s="66"/>
      <c r="J1193" s="66"/>
      <c r="K1193" s="91" t="s">
        <v>2527</v>
      </c>
      <c r="M1193" s="94" t="s">
        <v>2</v>
      </c>
      <c r="N1193" s="1"/>
      <c r="O1193" s="1"/>
      <c r="P1193" s="1"/>
      <c r="Q1193" s="39"/>
      <c r="R1193" s="84"/>
      <c r="S1193" s="84"/>
      <c r="T1193" s="84"/>
      <c r="U1193" s="84"/>
      <c r="V1193" s="84"/>
      <c r="W1193" s="84"/>
      <c r="X1193" s="84"/>
      <c r="Y1193" s="84"/>
      <c r="Z1193" s="84"/>
      <c r="AA1193" s="84"/>
    </row>
    <row r="1194" spans="1:28" ht="39.950000000000003" customHeight="1" x14ac:dyDescent="0.3">
      <c r="A1194" s="15"/>
      <c r="B1194" s="22">
        <v>45756</v>
      </c>
      <c r="C1194" s="42" t="s">
        <v>1967</v>
      </c>
      <c r="D1194" s="43">
        <v>1351</v>
      </c>
      <c r="E1194" s="42" t="s">
        <v>1967</v>
      </c>
      <c r="F1194" s="43" t="e">
        <f>+D1194*E1194</f>
        <v>#VALUE!</v>
      </c>
      <c r="G1194" s="43">
        <v>5195</v>
      </c>
      <c r="H1194" s="52"/>
      <c r="I1194" s="40"/>
      <c r="J1194" s="11"/>
      <c r="K1194" s="43">
        <v>239.1</v>
      </c>
      <c r="L1194" s="71" t="s">
        <v>2524</v>
      </c>
      <c r="M1194" s="80">
        <v>1242124.5</v>
      </c>
      <c r="N1194" s="72"/>
      <c r="O1194" s="65"/>
      <c r="P1194" s="65"/>
      <c r="Q1194" s="65"/>
      <c r="R1194" s="73"/>
      <c r="S1194" s="74"/>
      <c r="T1194" s="84"/>
      <c r="U1194" s="84"/>
      <c r="V1194" s="84"/>
      <c r="W1194" s="67"/>
      <c r="X1194" s="82"/>
      <c r="Y1194" s="67"/>
      <c r="Z1194" s="83"/>
      <c r="AA1194" s="83"/>
      <c r="AB1194" s="83"/>
    </row>
    <row r="1195" spans="1:28" ht="39.950000000000003" customHeight="1" x14ac:dyDescent="0.3">
      <c r="A1195" s="15"/>
      <c r="B1195" s="22">
        <v>45756</v>
      </c>
      <c r="C1195" s="42" t="s">
        <v>1968</v>
      </c>
      <c r="D1195" s="43">
        <v>3782.35</v>
      </c>
      <c r="E1195" s="42" t="s">
        <v>1968</v>
      </c>
      <c r="F1195" s="43">
        <v>1031500</v>
      </c>
      <c r="G1195" s="43">
        <v>3782.35</v>
      </c>
      <c r="H1195" s="52"/>
      <c r="I1195" s="52"/>
      <c r="J1195" s="11"/>
      <c r="K1195" s="43">
        <v>272.5</v>
      </c>
      <c r="L1195" s="76"/>
      <c r="M1195" s="81" t="s">
        <v>2528</v>
      </c>
      <c r="N1195" s="77"/>
      <c r="O1195" s="65"/>
      <c r="P1195" s="65"/>
      <c r="Q1195" s="65"/>
      <c r="R1195" s="78"/>
      <c r="S1195" s="79"/>
      <c r="T1195" s="84"/>
      <c r="U1195" s="84"/>
      <c r="V1195" s="84"/>
      <c r="W1195" s="84"/>
      <c r="X1195" s="85"/>
      <c r="Y1195" s="86"/>
      <c r="Z1195" s="87"/>
      <c r="AA1195" s="87"/>
      <c r="AB1195" s="87"/>
    </row>
    <row r="1196" spans="1:28" ht="36.75" customHeight="1" x14ac:dyDescent="0.3">
      <c r="A1196" s="44" t="s">
        <v>1969</v>
      </c>
      <c r="B1196" s="44"/>
      <c r="C1196" s="44"/>
      <c r="D1196" s="44"/>
      <c r="E1196" s="44"/>
      <c r="F1196" s="44" t="e">
        <f>SUM(F1194:F1195)</f>
        <v>#VALUE!</v>
      </c>
      <c r="G1196" s="52"/>
      <c r="H1196" s="52">
        <f>SUM(H1194:H1195)</f>
        <v>0</v>
      </c>
      <c r="I1196" s="52"/>
      <c r="J1196" s="11"/>
      <c r="K1196" s="75"/>
      <c r="L1196" s="76"/>
      <c r="M1196" s="81" t="s">
        <v>2529</v>
      </c>
      <c r="N1196" s="77"/>
      <c r="O1196" s="65"/>
      <c r="P1196" s="65"/>
      <c r="Q1196" s="65"/>
      <c r="R1196" s="78"/>
      <c r="S1196" s="77"/>
      <c r="T1196" s="84"/>
      <c r="U1196" s="84"/>
      <c r="V1196" s="84"/>
      <c r="W1196" s="84"/>
      <c r="X1196" s="88"/>
      <c r="Y1196" s="86"/>
      <c r="Z1196" s="87"/>
      <c r="AA1196" s="87"/>
      <c r="AB1196" s="87"/>
    </row>
    <row r="1197" spans="1:28" ht="33" customHeight="1" x14ac:dyDescent="0.3">
      <c r="H1197" s="52"/>
      <c r="I1197" s="52"/>
      <c r="K1197" s="68"/>
      <c r="L1197" s="69"/>
      <c r="M1197" s="68"/>
      <c r="N1197" s="70"/>
      <c r="O1197" s="65"/>
      <c r="P1197" s="65"/>
      <c r="Q1197" s="65"/>
      <c r="R1197" s="78"/>
      <c r="S1197" s="79"/>
      <c r="T1197" s="84"/>
      <c r="U1197" s="84"/>
      <c r="V1197" s="84"/>
      <c r="W1197" s="89"/>
      <c r="X1197" s="89"/>
      <c r="Y1197" s="89"/>
      <c r="Z1197" s="89"/>
      <c r="AA1197" s="89"/>
      <c r="AB1197" s="44"/>
    </row>
    <row r="1198" spans="1:28" ht="39.950000000000003" customHeight="1" x14ac:dyDescent="0.3">
      <c r="A1198" s="2" t="s">
        <v>528</v>
      </c>
      <c r="B1198" s="2"/>
      <c r="C1198" s="2"/>
      <c r="D1198" s="1"/>
      <c r="E1198" s="46"/>
      <c r="G1198" s="47"/>
      <c r="H1198" s="52"/>
      <c r="I1198" s="52"/>
      <c r="R1198" s="84"/>
      <c r="S1198" s="84"/>
      <c r="T1198" s="84"/>
      <c r="U1198" s="84"/>
      <c r="V1198" s="84"/>
      <c r="W1198" s="84"/>
      <c r="X1198" s="84"/>
      <c r="Y1198" s="84"/>
      <c r="Z1198" s="84"/>
      <c r="AA1198" s="84"/>
    </row>
    <row r="1199" spans="1:28" ht="39.950000000000003" customHeight="1" x14ac:dyDescent="0.3">
      <c r="A1199" s="2" t="s">
        <v>529</v>
      </c>
      <c r="B1199" s="2"/>
      <c r="C1199" s="2"/>
      <c r="D1199" s="1"/>
      <c r="E1199" s="46"/>
      <c r="H1199" s="52"/>
      <c r="I1199" s="52"/>
      <c r="R1199" s="84"/>
      <c r="S1199" s="84"/>
      <c r="T1199" s="84"/>
      <c r="U1199" s="84"/>
      <c r="V1199" s="84"/>
      <c r="W1199" s="84"/>
      <c r="X1199" s="84"/>
      <c r="Y1199" s="84"/>
      <c r="Z1199" s="84"/>
      <c r="AA1199" s="84"/>
    </row>
    <row r="1200" spans="1:28" ht="39.950000000000003" customHeight="1" x14ac:dyDescent="0.35">
      <c r="A1200" s="61" t="s">
        <v>2522</v>
      </c>
      <c r="B1200" s="61"/>
      <c r="C1200" s="48"/>
      <c r="D1200" s="49"/>
      <c r="E1200" s="46"/>
    </row>
    <row r="1201" spans="1:26" ht="39.950000000000003" customHeight="1" x14ac:dyDescent="0.35">
      <c r="A1201" s="62" t="s">
        <v>2523</v>
      </c>
      <c r="B1201" s="63"/>
    </row>
    <row r="1202" spans="1:26" ht="39.950000000000003" customHeight="1" x14ac:dyDescent="0.3">
      <c r="Z1202" s="64"/>
    </row>
  </sheetData>
  <autoFilter ref="A5:Q1174">
    <sortState ref="A6:Q1174">
      <sortCondition ref="E6:E1174"/>
    </sortState>
  </autoFilter>
  <sortState ref="A6:Q1189">
    <sortCondition ref="E6:E1189"/>
  </sortState>
  <mergeCells count="3">
    <mergeCell ref="M1:Q3"/>
    <mergeCell ref="E2:K2"/>
    <mergeCell ref="E3:K3"/>
  </mergeCells>
  <phoneticPr fontId="2" type="noConversion"/>
  <conditionalFormatting sqref="A5:N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{14F3D0F8-5BB6-451D-B887-F4807586DD0A}</x14:id>
        </ext>
      </extLst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5" scale="55" orientation="landscape" verticalDpi="360" r:id="rId1"/>
  <rowBreaks count="3" manualBreakCount="3">
    <brk id="166" max="19" man="1"/>
    <brk id="337" max="20" man="1"/>
    <brk id="842" max="16383" man="1"/>
  </rowBreaks>
  <colBreaks count="1" manualBreakCount="1">
    <brk id="14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4F3D0F8-5BB6-451D-B887-F4807586DD0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A5:N5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 Materiales Gastable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Mejia;i</dc:creator>
  <cp:lastModifiedBy>Josue Reinoso</cp:lastModifiedBy>
  <cp:lastPrinted>2025-07-15T15:43:41Z</cp:lastPrinted>
  <dcterms:created xsi:type="dcterms:W3CDTF">2024-10-21T12:47:02Z</dcterms:created>
  <dcterms:modified xsi:type="dcterms:W3CDTF">2025-07-15T15:48:43Z</dcterms:modified>
</cp:coreProperties>
</file>